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Кузнецов_А\911\Рабочая папка\Ярлыки\Папка для временных документов\ХЛАМ\Калькуляторы\"/>
    </mc:Choice>
  </mc:AlternateContent>
  <xr:revisionPtr revIDLastSave="0" documentId="8_{CFF58538-38AD-4B0B-86E0-A06C66B9540A}" xr6:coauthVersionLast="47" xr6:coauthVersionMax="47" xr10:uidLastSave="{00000000-0000-0000-0000-000000000000}"/>
  <bookViews>
    <workbookView xWindow="-120" yWindow="-120" windowWidth="29040" windowHeight="15990" tabRatio="193" xr2:uid="{00000000-000D-0000-FFFF-FFFF00000000}"/>
  </bookViews>
  <sheets>
    <sheet name="1" sheetId="1" r:id="rId1"/>
  </sheets>
  <definedNames>
    <definedName name="allnomber">OFFSET('1'!$E$109,0,0,COUNTA('1'!$E$109:$E$127),2)</definedName>
    <definedName name="nomber">OFFSET('1'!$E$108,0,0,COUNTA('1'!$E$108:$E$127),1)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W22" i="1"/>
  <c r="V22" i="1"/>
  <c r="Y18" i="1"/>
  <c r="Y28" i="1"/>
  <c r="Y13" i="1"/>
  <c r="V13" i="1"/>
  <c r="W13" i="1"/>
  <c r="V14" i="1"/>
  <c r="V12" i="1"/>
  <c r="W12" i="1"/>
  <c r="W14" i="1"/>
  <c r="V20" i="1"/>
  <c r="V19" i="1"/>
  <c r="V16" i="1"/>
  <c r="V15" i="1"/>
  <c r="G106" i="1"/>
  <c r="G91" i="1"/>
  <c r="E35" i="1"/>
  <c r="Y22" i="1" s="1"/>
  <c r="D31" i="1"/>
  <c r="B17" i="1"/>
  <c r="E17" i="1"/>
  <c r="D17" i="1"/>
  <c r="D35" i="1"/>
  <c r="H97" i="1" s="1"/>
  <c r="F120" i="1" s="1"/>
  <c r="B30" i="1"/>
  <c r="V17" i="1" s="1"/>
  <c r="E36" i="1"/>
  <c r="D36" i="1"/>
  <c r="D39" i="1"/>
  <c r="E39" i="1"/>
  <c r="E41" i="1"/>
  <c r="D41" i="1"/>
  <c r="E48" i="1"/>
  <c r="D48" i="1"/>
  <c r="E44" i="1"/>
  <c r="D44" i="1"/>
  <c r="H104" i="1" s="1"/>
  <c r="F127" i="1" s="1"/>
  <c r="E30" i="1"/>
  <c r="E26" i="1"/>
  <c r="D26" i="1"/>
  <c r="H106" i="1"/>
  <c r="I106" i="1" s="1"/>
  <c r="G104" i="1"/>
  <c r="G103" i="1"/>
  <c r="G102" i="1"/>
  <c r="G101" i="1"/>
  <c r="G100" i="1"/>
  <c r="G98" i="1"/>
  <c r="G97" i="1"/>
  <c r="G94" i="1"/>
  <c r="G93" i="1"/>
  <c r="G92" i="1"/>
  <c r="G90" i="1"/>
  <c r="G88" i="1"/>
  <c r="G89" i="1"/>
  <c r="G87" i="1"/>
  <c r="G86" i="1"/>
  <c r="F129" i="1" l="1"/>
  <c r="D37" i="1"/>
  <c r="I97" i="1"/>
  <c r="J104" i="1"/>
  <c r="I104" i="1"/>
  <c r="X22" i="1" l="1"/>
  <c r="H99" i="1"/>
  <c r="F122" i="1" s="1"/>
  <c r="Y26" i="1"/>
  <c r="X26" i="1"/>
  <c r="Y16" i="1"/>
  <c r="E29" i="1"/>
  <c r="D29" i="1"/>
  <c r="H93" i="1" s="1"/>
  <c r="F116" i="1" s="1"/>
  <c r="E28" i="1"/>
  <c r="E22" i="1"/>
  <c r="D22" i="1"/>
  <c r="D21" i="1"/>
  <c r="D20" i="1"/>
  <c r="H88" i="1" s="1"/>
  <c r="F111" i="1" s="1"/>
  <c r="E19" i="1"/>
  <c r="D19" i="1"/>
  <c r="H87" i="1" s="1"/>
  <c r="F110" i="1" s="1"/>
  <c r="H86" i="1"/>
  <c r="F109" i="1" s="1"/>
  <c r="B31" i="1"/>
  <c r="V18" i="1" s="1"/>
  <c r="Y23" i="1"/>
  <c r="W19" i="1"/>
  <c r="W20" i="1"/>
  <c r="V21" i="1"/>
  <c r="W21" i="1"/>
  <c r="V23" i="1"/>
  <c r="W23" i="1"/>
  <c r="V24" i="1"/>
  <c r="W24" i="1"/>
  <c r="V25" i="1"/>
  <c r="W25" i="1"/>
  <c r="V26" i="1"/>
  <c r="W26" i="1"/>
  <c r="W27" i="1"/>
  <c r="W28" i="1"/>
  <c r="V9" i="1"/>
  <c r="W9" i="1"/>
  <c r="V10" i="1"/>
  <c r="W10" i="1"/>
  <c r="Y10" i="1"/>
  <c r="V11" i="1"/>
  <c r="W11" i="1"/>
  <c r="Y11" i="1"/>
  <c r="W15" i="1"/>
  <c r="W16" i="1"/>
  <c r="W17" i="1"/>
  <c r="W18" i="1"/>
  <c r="W8" i="1"/>
  <c r="V8" i="1"/>
  <c r="B45" i="1"/>
  <c r="X28" i="1"/>
  <c r="Y25" i="1"/>
  <c r="E47" i="1"/>
  <c r="Y24" i="1" s="1"/>
  <c r="D47" i="1"/>
  <c r="Y21" i="1"/>
  <c r="Y20" i="1"/>
  <c r="Y19" i="1"/>
  <c r="Y17" i="1"/>
  <c r="D30" i="1"/>
  <c r="I99" i="1" l="1"/>
  <c r="J99" i="1"/>
  <c r="H90" i="1"/>
  <c r="F113" i="1" s="1"/>
  <c r="X12" i="1"/>
  <c r="D23" i="1"/>
  <c r="H89" i="1"/>
  <c r="J87" i="1"/>
  <c r="J93" i="1"/>
  <c r="I86" i="1"/>
  <c r="J86" i="1"/>
  <c r="X23" i="1"/>
  <c r="H101" i="1"/>
  <c r="F124" i="1" s="1"/>
  <c r="I93" i="1"/>
  <c r="I88" i="1"/>
  <c r="I87" i="1"/>
  <c r="X24" i="1"/>
  <c r="H102" i="1"/>
  <c r="F125" i="1" s="1"/>
  <c r="X25" i="1"/>
  <c r="H103" i="1"/>
  <c r="F126" i="1" s="1"/>
  <c r="X21" i="1"/>
  <c r="H100" i="1"/>
  <c r="F123" i="1" s="1"/>
  <c r="X20" i="1"/>
  <c r="H98" i="1"/>
  <c r="F121" i="1" s="1"/>
  <c r="X19" i="1"/>
  <c r="G105" i="1"/>
  <c r="D45" i="1"/>
  <c r="H105" i="1" s="1"/>
  <c r="F128" i="1" s="1"/>
  <c r="E45" i="1"/>
  <c r="Y27" i="1" s="1"/>
  <c r="V28" i="1"/>
  <c r="X17" i="1"/>
  <c r="H95" i="1"/>
  <c r="F118" i="1" s="1"/>
  <c r="X18" i="1"/>
  <c r="H96" i="1"/>
  <c r="F119" i="1" s="1"/>
  <c r="G96" i="1"/>
  <c r="G95" i="1"/>
  <c r="X16" i="1"/>
  <c r="H94" i="1"/>
  <c r="F117" i="1" s="1"/>
  <c r="X8" i="1"/>
  <c r="V27" i="1"/>
  <c r="F112" i="1" l="1"/>
  <c r="E112" i="1" s="1"/>
  <c r="H91" i="1"/>
  <c r="F114" i="1" s="1"/>
  <c r="X13" i="1"/>
  <c r="J90" i="1"/>
  <c r="E113" i="1"/>
  <c r="I90" i="1"/>
  <c r="J95" i="1"/>
  <c r="I105" i="1"/>
  <c r="I89" i="1"/>
  <c r="J105" i="1"/>
  <c r="J94" i="1"/>
  <c r="J97" i="1"/>
  <c r="J100" i="1"/>
  <c r="J102" i="1"/>
  <c r="J98" i="1"/>
  <c r="J103" i="1"/>
  <c r="J101" i="1"/>
  <c r="I98" i="1"/>
  <c r="I96" i="1"/>
  <c r="I100" i="1"/>
  <c r="I101" i="1"/>
  <c r="I102" i="1"/>
  <c r="I103" i="1"/>
  <c r="I94" i="1"/>
  <c r="I95" i="1"/>
  <c r="X27" i="1"/>
  <c r="Y15" i="1"/>
  <c r="X15" i="1"/>
  <c r="Y8" i="1"/>
  <c r="Y14" i="1"/>
  <c r="D28" i="1"/>
  <c r="X14" i="1" s="1"/>
  <c r="Y12" i="1"/>
  <c r="X11" i="1"/>
  <c r="X10" i="1"/>
  <c r="Y9" i="1"/>
  <c r="X9" i="1"/>
  <c r="I91" i="1" l="1"/>
  <c r="H92" i="1"/>
  <c r="H127" i="1" l="1" a="1"/>
  <c r="F115" i="1"/>
  <c r="H124" i="1" a="1"/>
  <c r="E127" i="1"/>
  <c r="E125" i="1"/>
  <c r="J92" i="1"/>
  <c r="I92" i="1"/>
  <c r="H119" i="1" s="1" a="1"/>
  <c r="H122" i="1" l="1" a="1"/>
  <c r="H123" i="1" a="1"/>
  <c r="H118" i="1" a="1"/>
  <c r="H128" i="1" a="1"/>
  <c r="H128" i="1" s="1"/>
  <c r="H126" i="1" a="1"/>
  <c r="H129" i="1" a="1"/>
  <c r="H117" i="1" a="1"/>
  <c r="H125" i="1" a="1"/>
  <c r="H125" i="1" s="1"/>
  <c r="I115" i="1" a="1"/>
  <c r="H115" i="1" a="1"/>
  <c r="H115" i="1" s="1"/>
  <c r="E128" i="1"/>
  <c r="E126" i="1"/>
  <c r="E129" i="1"/>
  <c r="H121" i="1" a="1"/>
  <c r="I129" i="1" a="1"/>
  <c r="I117" i="1" a="1"/>
  <c r="I126" i="1" a="1"/>
  <c r="I118" i="1" a="1"/>
  <c r="I127" i="1" a="1"/>
  <c r="I121" i="1" a="1"/>
  <c r="I121" i="1" s="1"/>
  <c r="I123" i="1" a="1"/>
  <c r="I122" i="1" a="1"/>
  <c r="I122" i="1" s="1"/>
  <c r="I124" i="1" a="1"/>
  <c r="I120" i="1" a="1"/>
  <c r="I120" i="1" s="1"/>
  <c r="I128" i="1" a="1"/>
  <c r="I125" i="1" a="1"/>
  <c r="I119" i="1" a="1"/>
  <c r="I116" i="1" a="1"/>
  <c r="I116" i="1" s="1"/>
  <c r="H120" i="1" a="1"/>
  <c r="E124" i="1"/>
  <c r="H116" i="1" a="1"/>
  <c r="I117" i="1"/>
  <c r="I119" i="1"/>
  <c r="I118" i="1"/>
  <c r="I128" i="1"/>
  <c r="I127" i="1"/>
  <c r="I129" i="1"/>
  <c r="I115" i="1"/>
  <c r="I124" i="1"/>
  <c r="I126" i="1"/>
  <c r="I125" i="1"/>
  <c r="I123" i="1"/>
  <c r="H122" i="1"/>
  <c r="H119" i="1"/>
  <c r="H129" i="1"/>
  <c r="H127" i="1"/>
  <c r="H120" i="1"/>
  <c r="H121" i="1"/>
  <c r="H123" i="1"/>
  <c r="H117" i="1"/>
  <c r="H116" i="1"/>
  <c r="H124" i="1"/>
  <c r="H126" i="1"/>
  <c r="H118" i="1"/>
  <c r="H109" i="1" a="1"/>
  <c r="H109" i="1" s="1"/>
  <c r="I114" i="1" a="1"/>
  <c r="I114" i="1" s="1"/>
  <c r="H110" i="1" a="1"/>
  <c r="H110" i="1" s="1"/>
  <c r="H111" i="1" a="1"/>
  <c r="H111" i="1" s="1"/>
  <c r="H112" i="1" a="1"/>
  <c r="H112" i="1" s="1"/>
  <c r="H113" i="1" a="1"/>
  <c r="H113" i="1" s="1"/>
  <c r="H114" i="1" a="1"/>
  <c r="H114" i="1" s="1"/>
  <c r="I113" i="1" a="1"/>
  <c r="I113" i="1" s="1"/>
  <c r="I109" i="1" a="1"/>
  <c r="I109" i="1" s="1"/>
  <c r="I111" i="1" a="1"/>
  <c r="I111" i="1" s="1"/>
  <c r="I110" i="1" a="1"/>
  <c r="I110" i="1" s="1"/>
  <c r="I112" i="1" a="1"/>
  <c r="I112" i="1" s="1"/>
  <c r="E121" i="1" l="1"/>
  <c r="E123" i="1"/>
  <c r="E109" i="1"/>
  <c r="E110" i="1" l="1"/>
  <c r="E111" i="1" s="1"/>
  <c r="E114" i="1" s="1"/>
  <c r="E115" i="1" l="1"/>
  <c r="E116" i="1" l="1"/>
  <c r="E117" i="1" s="1"/>
  <c r="E119" i="1" l="1"/>
  <c r="E120" i="1" s="1"/>
  <c r="E122" i="1"/>
  <c r="E118" i="1"/>
  <c r="B52" i="1" l="1"/>
  <c r="D52" i="1" s="1"/>
  <c r="B60" i="1"/>
  <c r="D60" i="1" s="1"/>
  <c r="B69" i="1"/>
  <c r="C69" i="1" s="1"/>
  <c r="B63" i="1"/>
  <c r="D63" i="1" s="1"/>
  <c r="B62" i="1"/>
  <c r="D62" i="1" s="1"/>
  <c r="B67" i="1"/>
  <c r="C67" i="1" s="1"/>
  <c r="B57" i="1"/>
  <c r="C57" i="1" s="1"/>
  <c r="B59" i="1"/>
  <c r="C59" i="1" s="1"/>
  <c r="B58" i="1"/>
  <c r="D58" i="1" s="1"/>
  <c r="B56" i="1"/>
  <c r="C56" i="1" s="1"/>
  <c r="B68" i="1"/>
  <c r="C68" i="1" s="1"/>
  <c r="B54" i="1"/>
  <c r="D54" i="1" s="1"/>
  <c r="B70" i="1"/>
  <c r="D70" i="1" s="1"/>
  <c r="B55" i="1"/>
  <c r="C55" i="1" s="1"/>
  <c r="B64" i="1"/>
  <c r="C64" i="1" s="1"/>
  <c r="B65" i="1"/>
  <c r="C65" i="1" s="1"/>
  <c r="B66" i="1"/>
  <c r="C66" i="1" s="1"/>
  <c r="B61" i="1"/>
  <c r="C61" i="1" s="1"/>
  <c r="B53" i="1"/>
  <c r="D53" i="1" s="1"/>
  <c r="C63" i="1" l="1"/>
  <c r="C53" i="1"/>
  <c r="E53" i="1" s="1"/>
  <c r="E52" i="1"/>
  <c r="C52" i="1"/>
  <c r="C60" i="1"/>
  <c r="C54" i="1"/>
  <c r="D59" i="1"/>
  <c r="D65" i="1"/>
  <c r="D69" i="1"/>
  <c r="D66" i="1"/>
  <c r="C62" i="1"/>
  <c r="C58" i="1"/>
  <c r="C70" i="1"/>
  <c r="D68" i="1"/>
  <c r="D67" i="1"/>
  <c r="D55" i="1"/>
  <c r="D61" i="1"/>
  <c r="D56" i="1"/>
  <c r="D64" i="1"/>
  <c r="D57" i="1"/>
</calcChain>
</file>

<file path=xl/sharedStrings.xml><?xml version="1.0" encoding="utf-8"?>
<sst xmlns="http://schemas.openxmlformats.org/spreadsheetml/2006/main" count="118" uniqueCount="81">
  <si>
    <t>Терраса</t>
  </si>
  <si>
    <t>Материал для монтажа пола террасы</t>
  </si>
  <si>
    <t>шт</t>
  </si>
  <si>
    <t>Ступени\крыльцо</t>
  </si>
  <si>
    <t>Кляммер для ДПК металлический основной 8 мм (35 шт)</t>
  </si>
  <si>
    <t>упак</t>
  </si>
  <si>
    <t>Кляммер для ДПК металлический стартовый, финишный (10 шт)</t>
  </si>
  <si>
    <t xml:space="preserve">Уголок ДПК Grand Line внешний 50х50мм </t>
  </si>
  <si>
    <t>Общая длина нижней части боковины крыльца</t>
  </si>
  <si>
    <t>Материал для монтажа ступеней и крыльца</t>
  </si>
  <si>
    <t>Ступень Grand Line массив</t>
  </si>
  <si>
    <t>ед.</t>
  </si>
  <si>
    <t>Доска для террасы</t>
  </si>
  <si>
    <t>кол-во, 3м</t>
  </si>
  <si>
    <t>кол-во, 4м</t>
  </si>
  <si>
    <t>Лага ДПК (монтажная рейка) Grand Line</t>
  </si>
  <si>
    <t>Всего, 3м</t>
  </si>
  <si>
    <t>Всего, 4м</t>
  </si>
  <si>
    <t>Материал для монтажа террасы, крыльца и ступеней</t>
  </si>
  <si>
    <t>Террасная доска Grand Line 140 мм</t>
  </si>
  <si>
    <t>для чего применяется</t>
  </si>
  <si>
    <t>как расчитывается</t>
  </si>
  <si>
    <t>Террасная доска</t>
  </si>
  <si>
    <t>введите доп. данные для точных расчетов</t>
  </si>
  <si>
    <t>Обшивка боковых сторон крыльца выбрать ↓</t>
  </si>
  <si>
    <t>Подступенки выбрать ↓</t>
  </si>
  <si>
    <r>
      <t>Ступени и лаги для крыльца</t>
    </r>
    <r>
      <rPr>
        <sz val="10"/>
        <color theme="1"/>
        <rFont val="Open Sans"/>
        <family val="2"/>
        <charset val="204"/>
      </rPr>
      <t xml:space="preserve"> (ширина 0,32 м)</t>
    </r>
  </si>
  <si>
    <t>Обшивка боковых сторон террасы, выбрать ↓</t>
  </si>
  <si>
    <t>Комплектующие для монтажа террасы</t>
  </si>
  <si>
    <t>Комплектующие для монтажа боковых сторон террасы</t>
  </si>
  <si>
    <t>Комплектующие для монтажа подступенка</t>
  </si>
  <si>
    <t>Комплектующие для монтажа боковых сторон крыльца</t>
  </si>
  <si>
    <t>Для настила террасы</t>
  </si>
  <si>
    <t>Площадь террасы разделить на площадь одной доски</t>
  </si>
  <si>
    <t>Опорные лаги для настила террасы</t>
  </si>
  <si>
    <t>Для крепления террасной доски к лагам</t>
  </si>
  <si>
    <t>20 штук на 1м2 террасы</t>
  </si>
  <si>
    <t>3 штуки на 1 м/п доски</t>
  </si>
  <si>
    <t>Для обрамления террасы по периметру. Для создания примыкания к стене.</t>
  </si>
  <si>
    <t>Вертикальная подсистема для крепления обшивки боковых сторон террасы</t>
  </si>
  <si>
    <t>Для обрамления вертикальных углов террассы</t>
  </si>
  <si>
    <t>Готовая ступень для крыльца или лестницы</t>
  </si>
  <si>
    <t>Опорные лаги для ступени</t>
  </si>
  <si>
    <t>Расчитывают с шагом 400мм. Площадь всех ступеней разделить на 2,75 и умножить на длину лаги</t>
  </si>
  <si>
    <t xml:space="preserve">Расчитывают с шагом 400мм. Площадь террасы разделить на 2,75 и умножить на длину одной лаги. </t>
  </si>
  <si>
    <t>Материал обшивки вертикальных сторон террасы</t>
  </si>
  <si>
    <t>Площадь боковых сторон террасы разделить на площадь одной доски</t>
  </si>
  <si>
    <t>Площадь боковых сторон крыльца разделить на площадь одной доски</t>
  </si>
  <si>
    <t>Материал обшивки боковых сторон крыльца</t>
  </si>
  <si>
    <t>Вертикальная подсистема для крепления обшивки боковых сторон крыльца</t>
  </si>
  <si>
    <t xml:space="preserve">Расчитывают с шагом 400мм. Площадь боковых сторон террасы разделить на 2,75 и умножить на длину одной лаги. </t>
  </si>
  <si>
    <t xml:space="preserve">Расчитывают с шагом 400мм. Площадь боковых сторон крыльца разделить на 2,75 и умножить на длину одной лаги. </t>
  </si>
  <si>
    <t>Для обрамления вертикальных углов крыльца</t>
  </si>
  <si>
    <t>Высоту всех вертикальных углов крыльца разделить на длину уголка</t>
  </si>
  <si>
    <t>Для крепления к  лагам первых и последних досок в ряду.</t>
  </si>
  <si>
    <t>Периметр террасы или длину примыкания разделить на длину уголка</t>
  </si>
  <si>
    <t>Длину всех вертикальных углов террасы разделить на длину уголка</t>
  </si>
  <si>
    <t>Для крепления к лагам первых и последних досок в ряду.</t>
  </si>
  <si>
    <t>Если все ступени одной ширины - длину всех ступеней разделить на длину одной ступени. Если ступени разной ширины - общую площадь ступеней разделить на площадь одной ступени</t>
  </si>
  <si>
    <t>Для изготовления подсупёнка (вертикальной части между ступенями)</t>
  </si>
  <si>
    <t>Площадь всех подступёнков разделить на площадь одной доски</t>
  </si>
  <si>
    <t>Вертикальная подсистема для крепления подступёнка</t>
  </si>
  <si>
    <t xml:space="preserve">Расчитывают с шагом 400мм. Площадь подступёнков разделить на 2,75 и умножить на длину одной лаги. </t>
  </si>
  <si>
    <t>Материал для монтажа террасы</t>
  </si>
  <si>
    <r>
      <t>Площадь террасы, м</t>
    </r>
    <r>
      <rPr>
        <b/>
        <vertAlign val="superscript"/>
        <sz val="12"/>
        <color theme="1"/>
        <rFont val="Open Sans"/>
        <family val="2"/>
        <charset val="204"/>
      </rPr>
      <t>2</t>
    </r>
  </si>
  <si>
    <t>Длина всех ступеней, м</t>
  </si>
  <si>
    <t>Общая длина первых и последних досок, м</t>
  </si>
  <si>
    <t>Периметр террасы, м</t>
  </si>
  <si>
    <r>
      <t>Площадь боковых стороны террасы, м</t>
    </r>
    <r>
      <rPr>
        <vertAlign val="superscript"/>
        <sz val="10"/>
        <color theme="1"/>
        <rFont val="Open Sans"/>
        <family val="2"/>
        <charset val="204"/>
      </rPr>
      <t>2</t>
    </r>
  </si>
  <si>
    <t>Сумма длин вертикальных углов (внеш+внут), м</t>
  </si>
  <si>
    <r>
      <t>Площадь всех ступеней, м</t>
    </r>
    <r>
      <rPr>
        <vertAlign val="superscript"/>
        <sz val="10"/>
        <color theme="1"/>
        <rFont val="Open Sans"/>
        <family val="2"/>
        <charset val="204"/>
      </rPr>
      <t>2</t>
    </r>
  </si>
  <si>
    <t>Высота подступенка, м</t>
  </si>
  <si>
    <t>Высота всех вертикальных углов крыльца, м</t>
  </si>
  <si>
    <r>
      <t>Площадь боковых частей крыльца, м</t>
    </r>
    <r>
      <rPr>
        <vertAlign val="superscript"/>
        <sz val="10"/>
        <color theme="1"/>
        <rFont val="Open Sans"/>
        <family val="2"/>
        <charset val="204"/>
      </rPr>
      <t>2</t>
    </r>
  </si>
  <si>
    <t>Для крепления кляммеров террасной доски</t>
  </si>
  <si>
    <t>1 саморез на 1 кляммер</t>
  </si>
  <si>
    <t>Террасная доска Grand Line 160 мм</t>
  </si>
  <si>
    <t>Для крепления ступеней</t>
  </si>
  <si>
    <t>4 самореза на 1 п.м. степени</t>
  </si>
  <si>
    <t>Саморез для крепления ступеней ДПК (Pz 6,0х40) желтый цинк</t>
  </si>
  <si>
    <t>Саморез для кляммеров террасной доски (Pz 4,0х30) желтый цинк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</si>
</sst>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b/>
      <sz val="10"/>
      <color theme="1"/>
      <name val="Open Sans"/>
      <family val="2"/>
      <charset val="204"/>
    </font>
    <font>
      <b/>
      <sz val="10"/>
      <color rgb="FFC00000"/>
      <name val="Open Sans"/>
      <family val="2"/>
      <charset val="204"/>
    </font>
    <font>
      <b/>
      <sz val="11"/>
      <color rgb="FFC00000"/>
      <name val="Open Sans"/>
      <family val="2"/>
      <charset val="204"/>
    </font>
    <font>
      <b/>
      <sz val="11"/>
      <color theme="1"/>
      <name val="Open Sans"/>
      <family val="2"/>
      <charset val="204"/>
    </font>
    <font>
      <b/>
      <sz val="12"/>
      <color rgb="FFC00000"/>
      <name val="Open Sans"/>
      <family val="2"/>
      <charset val="204"/>
    </font>
    <font>
      <b/>
      <sz val="12"/>
      <color theme="1"/>
      <name val="Open Sans"/>
      <family val="2"/>
      <charset val="204"/>
    </font>
    <font>
      <i/>
      <sz val="10"/>
      <color theme="1"/>
      <name val="Open Sans"/>
      <family val="2"/>
      <charset val="204"/>
    </font>
    <font>
      <sz val="10"/>
      <color theme="1"/>
      <name val="Open Sans"/>
      <family val="2"/>
      <charset val="204"/>
    </font>
    <font>
      <b/>
      <vertAlign val="superscript"/>
      <sz val="12"/>
      <color theme="1"/>
      <name val="Open Sans"/>
      <family val="2"/>
      <charset val="204"/>
    </font>
    <font>
      <vertAlign val="superscript"/>
      <sz val="10"/>
      <color theme="1"/>
      <name val="Open Sans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Continuous"/>
      <protection locked="0"/>
    </xf>
    <xf numFmtId="0" fontId="4" fillId="0" borderId="1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9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9" fillId="0" borderId="1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3" fontId="9" fillId="0" borderId="2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/>
      <protection hidden="1"/>
    </xf>
    <xf numFmtId="3" fontId="9" fillId="0" borderId="3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172138</xdr:colOff>
      <xdr:row>16</xdr:row>
      <xdr:rowOff>103283</xdr:rowOff>
    </xdr:from>
    <xdr:to>
      <xdr:col>16</xdr:col>
      <xdr:colOff>384705</xdr:colOff>
      <xdr:row>22</xdr:row>
      <xdr:rowOff>258656</xdr:rowOff>
    </xdr:to>
    <xdr:pic>
      <xdr:nvPicPr>
        <xdr:cNvPr id="2" name="Рисунок 1" descr="рисунок ступенек с выносками для калькулятора ДПК Гранд Лайн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79277" y="2926355"/>
          <a:ext cx="5502958" cy="2202674"/>
        </a:xfrm>
        <a:prstGeom prst="rect">
          <a:avLst/>
        </a:prstGeom>
      </xdr:spPr>
    </xdr:pic>
    <xdr:clientData/>
  </xdr:twoCellAnchor>
  <xdr:twoCellAnchor editAs="oneCell">
    <xdr:from>
      <xdr:col>10</xdr:col>
      <xdr:colOff>182036</xdr:colOff>
      <xdr:row>1</xdr:row>
      <xdr:rowOff>0</xdr:rowOff>
    </xdr:from>
    <xdr:to>
      <xdr:col>16</xdr:col>
      <xdr:colOff>206566</xdr:colOff>
      <xdr:row>17</xdr:row>
      <xdr:rowOff>91807</xdr:rowOff>
    </xdr:to>
    <xdr:pic>
      <xdr:nvPicPr>
        <xdr:cNvPr id="3" name="Рисунок 2" descr="рисунок террасы с выносками для калькулятора ДПК Гранд Лай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89175" y="0"/>
          <a:ext cx="5314921" cy="310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30"/>
  <sheetViews>
    <sheetView showGridLines="0" tabSelected="1" topLeftCell="A3" zoomScale="85" zoomScaleNormal="85" workbookViewId="0">
      <selection activeCell="A3" sqref="A3"/>
    </sheetView>
  </sheetViews>
  <sheetFormatPr defaultColWidth="0" defaultRowHeight="15" zeroHeight="1" x14ac:dyDescent="0.3"/>
  <cols>
    <col min="1" max="1" width="6.28515625" style="3" customWidth="1"/>
    <col min="2" max="2" width="61.7109375" style="3" customWidth="1"/>
    <col min="3" max="4" width="11.140625" style="3" customWidth="1"/>
    <col min="5" max="5" width="10.85546875" style="3" bestFit="1" customWidth="1"/>
    <col min="6" max="6" width="8.7109375" style="4" bestFit="1" customWidth="1"/>
    <col min="7" max="7" width="39.7109375" style="5" customWidth="1"/>
    <col min="8" max="8" width="12.42578125" style="3" customWidth="1"/>
    <col min="9" max="9" width="9.5703125" style="3" customWidth="1"/>
    <col min="10" max="10" width="30.5703125" style="3" customWidth="1"/>
    <col min="11" max="11" width="7.85546875" style="3" customWidth="1"/>
    <col min="12" max="16" width="14.28515625" style="3" customWidth="1"/>
    <col min="17" max="17" width="7.5703125" style="3" customWidth="1"/>
    <col min="18" max="16384" width="9.140625" style="3" hidden="1"/>
  </cols>
  <sheetData>
    <row r="3" spans="2:25" x14ac:dyDescent="0.3"/>
    <row r="4" spans="2:25" ht="18" x14ac:dyDescent="0.35">
      <c r="B4" s="14" t="s">
        <v>0</v>
      </c>
      <c r="E4" s="14" t="s">
        <v>3</v>
      </c>
    </row>
    <row r="5" spans="2:25" ht="33" customHeight="1" x14ac:dyDescent="0.3">
      <c r="B5" s="15" t="s">
        <v>64</v>
      </c>
      <c r="C5" s="16">
        <v>10</v>
      </c>
      <c r="E5" s="64" t="s">
        <v>65</v>
      </c>
      <c r="F5" s="64"/>
      <c r="G5" s="64"/>
      <c r="H5" s="16">
        <v>0</v>
      </c>
    </row>
    <row r="6" spans="2:25" x14ac:dyDescent="0.3">
      <c r="B6" s="67" t="s">
        <v>19</v>
      </c>
      <c r="C6" s="67"/>
    </row>
    <row r="7" spans="2:25" x14ac:dyDescent="0.3">
      <c r="F7" s="3"/>
      <c r="G7" s="3"/>
      <c r="V7" s="1" t="s">
        <v>1</v>
      </c>
      <c r="W7" s="17" t="s">
        <v>11</v>
      </c>
      <c r="X7" s="17" t="s">
        <v>13</v>
      </c>
      <c r="Y7" s="17" t="s">
        <v>14</v>
      </c>
    </row>
    <row r="8" spans="2:25" ht="15" customHeight="1" x14ac:dyDescent="0.3">
      <c r="B8" s="18" t="s">
        <v>23</v>
      </c>
      <c r="C8" s="18"/>
      <c r="E8" s="18" t="s">
        <v>23</v>
      </c>
      <c r="F8" s="18"/>
      <c r="G8" s="18"/>
      <c r="H8" s="18"/>
      <c r="V8" s="3" t="str">
        <f>B6</f>
        <v>Террасная доска Grand Line 140 мм</v>
      </c>
      <c r="W8" s="3" t="str">
        <f>C17</f>
        <v>шт</v>
      </c>
      <c r="X8" s="3">
        <f>D17</f>
        <v>24</v>
      </c>
      <c r="Y8" s="3">
        <f>E17</f>
        <v>18</v>
      </c>
    </row>
    <row r="9" spans="2:25" ht="15" customHeight="1" x14ac:dyDescent="0.3">
      <c r="B9" s="19" t="s">
        <v>66</v>
      </c>
      <c r="C9" s="20">
        <v>0</v>
      </c>
      <c r="E9" s="65" t="s">
        <v>70</v>
      </c>
      <c r="F9" s="66"/>
      <c r="G9" s="66"/>
      <c r="H9" s="20">
        <v>0</v>
      </c>
      <c r="I9" s="8"/>
      <c r="V9" s="3" t="str">
        <f t="shared" ref="V9:Y12" si="0">B19</f>
        <v>Лага ДПК (монтажная рейка) Grand Line</v>
      </c>
      <c r="W9" s="3" t="str">
        <f t="shared" si="0"/>
        <v>шт</v>
      </c>
      <c r="X9" s="3">
        <f t="shared" si="0"/>
        <v>10</v>
      </c>
      <c r="Y9" s="3">
        <f t="shared" si="0"/>
        <v>7</v>
      </c>
    </row>
    <row r="10" spans="2:25" x14ac:dyDescent="0.3">
      <c r="B10" s="19" t="s">
        <v>67</v>
      </c>
      <c r="C10" s="20">
        <v>0</v>
      </c>
      <c r="E10" s="65" t="s">
        <v>71</v>
      </c>
      <c r="F10" s="66"/>
      <c r="G10" s="66"/>
      <c r="H10" s="20">
        <v>0</v>
      </c>
      <c r="V10" s="3" t="str">
        <f t="shared" si="0"/>
        <v>Кляммер для ДПК металлический основной 8 мм (35 шт)</v>
      </c>
      <c r="W10" s="3" t="str">
        <f t="shared" si="0"/>
        <v>упак</v>
      </c>
      <c r="X10" s="3">
        <f t="shared" si="0"/>
        <v>6</v>
      </c>
      <c r="Y10" s="3">
        <f t="shared" si="0"/>
        <v>0</v>
      </c>
    </row>
    <row r="11" spans="2:25" ht="16.5" x14ac:dyDescent="0.3">
      <c r="B11" s="19" t="s">
        <v>68</v>
      </c>
      <c r="C11" s="20">
        <v>0</v>
      </c>
      <c r="E11" s="65" t="s">
        <v>72</v>
      </c>
      <c r="F11" s="66"/>
      <c r="G11" s="66"/>
      <c r="H11" s="20">
        <v>0</v>
      </c>
      <c r="V11" s="3" t="str">
        <f t="shared" si="0"/>
        <v>Кляммер для ДПК металлический стартовый, финишный (10 шт)</v>
      </c>
      <c r="W11" s="3" t="str">
        <f t="shared" si="0"/>
        <v>упак</v>
      </c>
      <c r="X11" s="3">
        <f t="shared" si="0"/>
        <v>0</v>
      </c>
      <c r="Y11" s="3">
        <f t="shared" si="0"/>
        <v>0</v>
      </c>
    </row>
    <row r="12" spans="2:25" ht="16.5" x14ac:dyDescent="0.3">
      <c r="B12" s="19" t="s">
        <v>69</v>
      </c>
      <c r="C12" s="20">
        <v>0</v>
      </c>
      <c r="E12" s="65" t="s">
        <v>73</v>
      </c>
      <c r="F12" s="66"/>
      <c r="G12" s="66"/>
      <c r="H12" s="20">
        <v>0</v>
      </c>
      <c r="V12" s="3" t="str">
        <f>B22</f>
        <v xml:space="preserve">Уголок ДПК Grand Line внешний 50х50мм </v>
      </c>
      <c r="W12" s="3" t="str">
        <f t="shared" si="0"/>
        <v>шт</v>
      </c>
      <c r="X12" s="3">
        <f t="shared" si="0"/>
        <v>0</v>
      </c>
      <c r="Y12" s="3">
        <f t="shared" si="0"/>
        <v>0</v>
      </c>
    </row>
    <row r="13" spans="2:25" hidden="1" x14ac:dyDescent="0.3">
      <c r="E13" s="68" t="s">
        <v>8</v>
      </c>
      <c r="F13" s="68"/>
      <c r="G13" s="68"/>
      <c r="H13" s="20">
        <v>0</v>
      </c>
      <c r="V13" s="3" t="str">
        <f>B23</f>
        <v>Саморез для кляммеров террасной доски (Pz 4,0х30) желтый цинк</v>
      </c>
      <c r="W13" s="3" t="str">
        <f t="shared" ref="W13" si="1">C23</f>
        <v>шт</v>
      </c>
      <c r="X13" s="3">
        <f t="shared" ref="X13" si="2">D23</f>
        <v>210</v>
      </c>
      <c r="Y13" s="3">
        <f>E23</f>
        <v>0</v>
      </c>
    </row>
    <row r="14" spans="2:25" ht="15.75" customHeight="1" x14ac:dyDescent="0.3">
      <c r="V14" s="3" t="str">
        <f t="shared" ref="V14:Y15" si="3">B28</f>
        <v>Лага ДПК (монтажная рейка) Grand Line</v>
      </c>
      <c r="W14" s="3" t="str">
        <f t="shared" si="3"/>
        <v>шт</v>
      </c>
      <c r="X14" s="3">
        <f t="shared" si="3"/>
        <v>0</v>
      </c>
      <c r="Y14" s="3">
        <f t="shared" si="3"/>
        <v>0</v>
      </c>
    </row>
    <row r="15" spans="2:25" x14ac:dyDescent="0.3">
      <c r="B15" s="1" t="s">
        <v>63</v>
      </c>
      <c r="C15" s="17" t="s">
        <v>11</v>
      </c>
      <c r="D15" s="17" t="s">
        <v>13</v>
      </c>
      <c r="E15" s="21" t="s">
        <v>14</v>
      </c>
      <c r="F15" s="70" t="s">
        <v>20</v>
      </c>
      <c r="G15" s="70"/>
      <c r="H15" s="70" t="s">
        <v>21</v>
      </c>
      <c r="I15" s="70"/>
      <c r="J15" s="70"/>
      <c r="V15" s="3" t="str">
        <f t="shared" si="3"/>
        <v xml:space="preserve">Уголок ДПК Grand Line внешний 50х50мм </v>
      </c>
      <c r="W15" s="3" t="str">
        <f t="shared" si="3"/>
        <v>шт</v>
      </c>
      <c r="X15" s="3">
        <f t="shared" si="3"/>
        <v>0</v>
      </c>
      <c r="Y15" s="3">
        <f t="shared" si="3"/>
        <v>0</v>
      </c>
    </row>
    <row r="16" spans="2:25" ht="15.75" customHeight="1" x14ac:dyDescent="0.3">
      <c r="B16" s="49" t="s">
        <v>12</v>
      </c>
      <c r="C16" s="49"/>
      <c r="D16" s="49"/>
      <c r="E16" s="52"/>
      <c r="F16" s="69"/>
      <c r="G16" s="69"/>
      <c r="H16" s="69"/>
      <c r="I16" s="69"/>
      <c r="J16" s="69"/>
      <c r="V16" s="3" t="str">
        <f>B26</f>
        <v>Террасная доска Grand Line 160 мм</v>
      </c>
      <c r="W16" s="3" t="str">
        <f>C26</f>
        <v>шт</v>
      </c>
      <c r="X16" s="3">
        <f>D26</f>
        <v>0</v>
      </c>
      <c r="Y16" s="3">
        <f>E26</f>
        <v>0</v>
      </c>
    </row>
    <row r="17" spans="2:25" x14ac:dyDescent="0.3">
      <c r="B17" s="22" t="str">
        <f>B6</f>
        <v>Террасная доска Grand Line 140 мм</v>
      </c>
      <c r="C17" s="12" t="s">
        <v>2</v>
      </c>
      <c r="D17" s="40">
        <f>CEILING(C5/(IF(B6="Террасная доска Grand Line 160 мм", 0.16,0.14)*3),1)</f>
        <v>24</v>
      </c>
      <c r="E17" s="41">
        <f>CEILING(C5/(IF(B6="Террасная доска Grand Line 160 мм", 0.16,0.14)*4),1)</f>
        <v>18</v>
      </c>
      <c r="F17" s="44" t="s">
        <v>32</v>
      </c>
      <c r="G17" s="44"/>
      <c r="H17" s="44" t="s">
        <v>33</v>
      </c>
      <c r="I17" s="44"/>
      <c r="J17" s="44"/>
      <c r="Q17" s="23"/>
      <c r="R17" s="4"/>
      <c r="V17" s="3" t="str">
        <f t="shared" ref="V17:Y18" si="4">B30</f>
        <v>Кляммер для ДПК металлический основной 8 мм (35 шт)</v>
      </c>
      <c r="W17" s="3" t="str">
        <f t="shared" si="4"/>
        <v>упак</v>
      </c>
      <c r="X17" s="3">
        <f t="shared" si="4"/>
        <v>0</v>
      </c>
      <c r="Y17" s="3">
        <f t="shared" si="4"/>
        <v>0</v>
      </c>
    </row>
    <row r="18" spans="2:25" x14ac:dyDescent="0.3">
      <c r="B18" s="49" t="s">
        <v>28</v>
      </c>
      <c r="C18" s="49"/>
      <c r="D18" s="49"/>
      <c r="E18" s="52"/>
      <c r="F18" s="51"/>
      <c r="G18" s="51"/>
      <c r="H18" s="51"/>
      <c r="I18" s="51"/>
      <c r="J18" s="51"/>
      <c r="Q18" s="23"/>
      <c r="R18" s="4"/>
      <c r="V18" s="3" t="str">
        <f t="shared" si="4"/>
        <v>Кляммер для ДПК металлический стартовый, финишный (10 шт)</v>
      </c>
      <c r="W18" s="3" t="str">
        <f t="shared" si="4"/>
        <v>упак</v>
      </c>
      <c r="X18" s="3">
        <f t="shared" si="4"/>
        <v>0</v>
      </c>
      <c r="Y18" s="3">
        <f t="shared" si="4"/>
        <v>0</v>
      </c>
    </row>
    <row r="19" spans="2:25" ht="32.25" customHeight="1" x14ac:dyDescent="0.3">
      <c r="B19" s="24" t="s">
        <v>15</v>
      </c>
      <c r="C19" s="12" t="s">
        <v>2</v>
      </c>
      <c r="D19" s="40">
        <f>CEILING(C5*(2.75/3),1)</f>
        <v>10</v>
      </c>
      <c r="E19" s="41">
        <f>CEILING(C5*(2.75/4),1)</f>
        <v>7</v>
      </c>
      <c r="F19" s="44" t="s">
        <v>34</v>
      </c>
      <c r="G19" s="44"/>
      <c r="H19" s="44" t="s">
        <v>44</v>
      </c>
      <c r="I19" s="44"/>
      <c r="J19" s="44"/>
      <c r="Q19" s="23"/>
      <c r="R19" s="4"/>
      <c r="V19" s="3" t="str">
        <f t="shared" ref="V19:Y20" si="5">B35</f>
        <v>Ступень Grand Line массив</v>
      </c>
      <c r="W19" s="3" t="str">
        <f t="shared" si="5"/>
        <v>шт</v>
      </c>
      <c r="X19" s="3">
        <f t="shared" si="5"/>
        <v>0</v>
      </c>
      <c r="Y19" s="3">
        <f t="shared" si="5"/>
        <v>0</v>
      </c>
    </row>
    <row r="20" spans="2:25" ht="32.25" customHeight="1" x14ac:dyDescent="0.3">
      <c r="B20" s="24" t="s">
        <v>4</v>
      </c>
      <c r="C20" s="12" t="s">
        <v>5</v>
      </c>
      <c r="D20" s="54">
        <f>CEILING(C5*(20/35),1)</f>
        <v>6</v>
      </c>
      <c r="E20" s="54"/>
      <c r="F20" s="44" t="s">
        <v>35</v>
      </c>
      <c r="G20" s="44"/>
      <c r="H20" s="44" t="s">
        <v>36</v>
      </c>
      <c r="I20" s="44"/>
      <c r="J20" s="44"/>
      <c r="Q20" s="23"/>
      <c r="R20" s="4"/>
      <c r="V20" s="3" t="str">
        <f t="shared" si="5"/>
        <v>Лага ДПК (монтажная рейка) Grand Line</v>
      </c>
      <c r="W20" s="3" t="str">
        <f t="shared" si="5"/>
        <v>шт</v>
      </c>
      <c r="X20" s="3">
        <f t="shared" si="5"/>
        <v>0</v>
      </c>
      <c r="Y20" s="3">
        <f t="shared" si="5"/>
        <v>0</v>
      </c>
    </row>
    <row r="21" spans="2:25" ht="32.25" customHeight="1" x14ac:dyDescent="0.3">
      <c r="B21" s="25" t="s">
        <v>6</v>
      </c>
      <c r="C21" s="26" t="s">
        <v>5</v>
      </c>
      <c r="D21" s="55">
        <f>CEILING(C9*(3/10),1)</f>
        <v>0</v>
      </c>
      <c r="E21" s="55"/>
      <c r="F21" s="59" t="s">
        <v>54</v>
      </c>
      <c r="G21" s="44"/>
      <c r="H21" s="44" t="s">
        <v>37</v>
      </c>
      <c r="I21" s="44"/>
      <c r="J21" s="44"/>
      <c r="Q21" s="23"/>
      <c r="R21" s="4"/>
      <c r="V21" s="3" t="str">
        <f>B41</f>
        <v>Лага ДПК (монтажная рейка) Grand Line</v>
      </c>
      <c r="W21" s="3" t="str">
        <f>C41</f>
        <v>шт</v>
      </c>
      <c r="X21" s="3">
        <f>D41</f>
        <v>0</v>
      </c>
      <c r="Y21" s="3">
        <f>E41</f>
        <v>0</v>
      </c>
    </row>
    <row r="22" spans="2:25" ht="32.25" customHeight="1" x14ac:dyDescent="0.3">
      <c r="B22" s="27" t="s">
        <v>7</v>
      </c>
      <c r="C22" s="12" t="s">
        <v>2</v>
      </c>
      <c r="D22" s="40">
        <f>CEILING(C10/(3),1)</f>
        <v>0</v>
      </c>
      <c r="E22" s="40">
        <f>CEILING(C10/(4),1)</f>
        <v>0</v>
      </c>
      <c r="F22" s="44" t="s">
        <v>38</v>
      </c>
      <c r="G22" s="44"/>
      <c r="H22" s="44" t="s">
        <v>55</v>
      </c>
      <c r="I22" s="44"/>
      <c r="J22" s="44"/>
      <c r="Q22" s="23"/>
      <c r="R22" s="4"/>
      <c r="V22" s="3" t="str">
        <f>B37</f>
        <v>Саморез для крепления ступеней ДПК (Pz 6,0х40) желтый цинк</v>
      </c>
      <c r="W22" s="3" t="str">
        <f t="shared" ref="W22:Y22" si="6">C37</f>
        <v>шт</v>
      </c>
      <c r="X22" s="3">
        <f t="shared" si="6"/>
        <v>0</v>
      </c>
      <c r="Y22" s="3">
        <f t="shared" si="6"/>
        <v>0</v>
      </c>
    </row>
    <row r="23" spans="2:25" ht="32.25" customHeight="1" x14ac:dyDescent="0.3">
      <c r="B23" s="71" t="s">
        <v>80</v>
      </c>
      <c r="C23" s="39" t="s">
        <v>2</v>
      </c>
      <c r="D23" s="45">
        <f>D20*35+D21*10+D31*10+IF(B30="Кляммер для ДПК металлический основной 8 мм (35 шт)",D30*35,0)</f>
        <v>210</v>
      </c>
      <c r="E23" s="46"/>
      <c r="F23" s="43" t="s">
        <v>74</v>
      </c>
      <c r="G23" s="44"/>
      <c r="H23" s="43" t="s">
        <v>75</v>
      </c>
      <c r="I23" s="44"/>
      <c r="J23" s="44"/>
      <c r="Q23" s="23"/>
      <c r="R23" s="4"/>
      <c r="V23" s="3" t="str">
        <f>B39</f>
        <v>Террасная доска Grand Line 140 мм</v>
      </c>
      <c r="W23" s="3" t="str">
        <f>C39</f>
        <v>шт</v>
      </c>
      <c r="X23" s="3">
        <f>D39</f>
        <v>0</v>
      </c>
      <c r="Y23" s="3">
        <f>E39</f>
        <v>0</v>
      </c>
    </row>
    <row r="24" spans="2:25" x14ac:dyDescent="0.3">
      <c r="B24" s="49" t="s">
        <v>27</v>
      </c>
      <c r="C24" s="49"/>
      <c r="D24" s="49"/>
      <c r="E24" s="49"/>
      <c r="F24" s="51"/>
      <c r="G24" s="51"/>
      <c r="H24" s="51"/>
      <c r="I24" s="51"/>
      <c r="J24" s="51"/>
      <c r="Q24" s="23"/>
      <c r="R24" s="4"/>
      <c r="V24" s="3" t="str">
        <f t="shared" ref="V24:Y25" si="7">B47</f>
        <v>Лага ДПК (монтажная рейка) Grand Line</v>
      </c>
      <c r="W24" s="3" t="str">
        <f t="shared" si="7"/>
        <v>шт</v>
      </c>
      <c r="X24" s="3">
        <f t="shared" si="7"/>
        <v>0</v>
      </c>
      <c r="Y24" s="3">
        <f t="shared" si="7"/>
        <v>0</v>
      </c>
    </row>
    <row r="25" spans="2:25" ht="32.25" customHeight="1" x14ac:dyDescent="0.3">
      <c r="B25" s="56" t="s">
        <v>22</v>
      </c>
      <c r="C25" s="57"/>
      <c r="D25" s="57"/>
      <c r="E25" s="58"/>
      <c r="F25" s="44" t="s">
        <v>45</v>
      </c>
      <c r="G25" s="44"/>
      <c r="H25" s="61" t="s">
        <v>46</v>
      </c>
      <c r="I25" s="62"/>
      <c r="J25" s="63"/>
      <c r="Q25" s="23"/>
      <c r="R25" s="4"/>
      <c r="V25" s="3" t="str">
        <f t="shared" si="7"/>
        <v xml:space="preserve">Уголок ДПК Grand Line внешний 50х50мм </v>
      </c>
      <c r="W25" s="3" t="str">
        <f t="shared" si="7"/>
        <v>шт</v>
      </c>
      <c r="X25" s="3">
        <f t="shared" si="7"/>
        <v>0</v>
      </c>
      <c r="Y25" s="3">
        <f t="shared" si="7"/>
        <v>0</v>
      </c>
    </row>
    <row r="26" spans="2:25" x14ac:dyDescent="0.3">
      <c r="B26" s="11" t="s">
        <v>76</v>
      </c>
      <c r="C26" s="12" t="s">
        <v>2</v>
      </c>
      <c r="D26" s="40">
        <f>IF(B25="Террасная доска",CEILING(C11/(IF(B26="Террасная доска Grand Line 160 мм",0.16,0.14)*3),1),0)</f>
        <v>0</v>
      </c>
      <c r="E26" s="40">
        <f>IF(B25="Террасная доска",CEILING(C11/(IF(B26="Террасная доска Grand Line 160 мм",0.16,0.14)*4),1),0)</f>
        <v>0</v>
      </c>
      <c r="F26" s="53"/>
      <c r="G26" s="53"/>
      <c r="H26" s="53"/>
      <c r="I26" s="53"/>
      <c r="J26" s="53"/>
      <c r="Q26" s="23"/>
      <c r="R26" s="4"/>
      <c r="V26" s="3" t="str">
        <f t="shared" ref="V26:Y27" si="8">B44</f>
        <v>Террасная доска Grand Line 140 мм</v>
      </c>
      <c r="W26" s="3" t="str">
        <f t="shared" si="8"/>
        <v>шт</v>
      </c>
      <c r="X26" s="3">
        <f t="shared" si="8"/>
        <v>0</v>
      </c>
      <c r="Y26" s="3">
        <f t="shared" si="8"/>
        <v>0</v>
      </c>
    </row>
    <row r="27" spans="2:25" x14ac:dyDescent="0.3">
      <c r="B27" s="49" t="s">
        <v>29</v>
      </c>
      <c r="C27" s="49"/>
      <c r="D27" s="49"/>
      <c r="E27" s="49"/>
      <c r="F27" s="51"/>
      <c r="G27" s="51"/>
      <c r="H27" s="51"/>
      <c r="I27" s="51"/>
      <c r="J27" s="51"/>
      <c r="Q27" s="23"/>
      <c r="R27" s="4"/>
      <c r="V27" s="3" t="str">
        <f t="shared" si="8"/>
        <v>-</v>
      </c>
      <c r="W27" s="3" t="str">
        <f t="shared" si="8"/>
        <v>шт</v>
      </c>
      <c r="X27" s="3">
        <f t="shared" si="8"/>
        <v>0</v>
      </c>
      <c r="Y27" s="3">
        <f t="shared" si="8"/>
        <v>0</v>
      </c>
    </row>
    <row r="28" spans="2:25" ht="32.25" customHeight="1" x14ac:dyDescent="0.3">
      <c r="B28" s="27" t="s">
        <v>15</v>
      </c>
      <c r="C28" s="12" t="s">
        <v>2</v>
      </c>
      <c r="D28" s="40">
        <f>CEILING(C11*(2.75/3),1)</f>
        <v>0</v>
      </c>
      <c r="E28" s="40">
        <f>CEILING(C11*(2.75/4),1)</f>
        <v>0</v>
      </c>
      <c r="F28" s="44" t="s">
        <v>39</v>
      </c>
      <c r="G28" s="44"/>
      <c r="H28" s="44" t="s">
        <v>50</v>
      </c>
      <c r="I28" s="44"/>
      <c r="J28" s="44"/>
      <c r="Q28" s="23"/>
      <c r="R28" s="4"/>
      <c r="V28" s="3">
        <f>B49</f>
        <v>0</v>
      </c>
      <c r="W28" s="3">
        <f>C49</f>
        <v>0</v>
      </c>
      <c r="X28" s="3">
        <f>D49</f>
        <v>0</v>
      </c>
      <c r="Y28" s="3">
        <f>E49</f>
        <v>0</v>
      </c>
    </row>
    <row r="29" spans="2:25" ht="32.25" customHeight="1" x14ac:dyDescent="0.3">
      <c r="B29" s="27" t="s">
        <v>7</v>
      </c>
      <c r="C29" s="12" t="s">
        <v>2</v>
      </c>
      <c r="D29" s="40">
        <f>CEILING(C12/(3),1)</f>
        <v>0</v>
      </c>
      <c r="E29" s="40">
        <f>CEILING(C12/(4),1)</f>
        <v>0</v>
      </c>
      <c r="F29" s="44" t="s">
        <v>40</v>
      </c>
      <c r="G29" s="44"/>
      <c r="H29" s="44" t="s">
        <v>56</v>
      </c>
      <c r="I29" s="44"/>
      <c r="J29" s="44"/>
      <c r="Q29" s="23"/>
      <c r="R29" s="4"/>
    </row>
    <row r="30" spans="2:25" x14ac:dyDescent="0.3">
      <c r="B30" s="24" t="str">
        <f>IF(B25="Террасная доска","Кляммер для ДПК металлический основной 8 мм (35 шт)",
IF(B25="Торцевая планка","Торцевая планка Grand Line","Фасадная панель Grand Line"))</f>
        <v>Кляммер для ДПК металлический основной 8 мм (35 шт)</v>
      </c>
      <c r="C30" s="12" t="s">
        <v>5</v>
      </c>
      <c r="D30" s="40">
        <f>CEILING(IF(B25="Террасная доска",C11*(20/35),
IF(B25="Торцевая планка",C11/(0.118*3),
IF(B25="Фасадная панель",C11/(0.145*3)))),1)</f>
        <v>0</v>
      </c>
      <c r="E30" s="40">
        <f>IF(B25="Террасная доска",0,CEILING(IF(B25="Террасная доска",C11*(20/35),
IF(B25="Торцевая планка",C11/(0.118*4),
IF(B25="Фасадная панель",C11/(0.145*4)))),1))</f>
        <v>0</v>
      </c>
      <c r="F30" s="44" t="s">
        <v>35</v>
      </c>
      <c r="G30" s="44"/>
      <c r="H30" s="44" t="s">
        <v>36</v>
      </c>
      <c r="I30" s="44"/>
      <c r="J30" s="44"/>
      <c r="Q30" s="23"/>
      <c r="R30" s="4"/>
    </row>
    <row r="31" spans="2:25" x14ac:dyDescent="0.3">
      <c r="B31" s="24" t="str">
        <f>IF(B25="Торцевая планка","-","Кляммер для ДПК металлический стартовый, финишный (10 шт)")</f>
        <v>Кляммер для ДПК металлический стартовый, финишный (10 шт)</v>
      </c>
      <c r="C31" s="12" t="s">
        <v>5</v>
      </c>
      <c r="D31" s="45">
        <f>IF(OR(B25="Торцевая планка",C11=0),0,CEILING(C10*3/10,1))</f>
        <v>0</v>
      </c>
      <c r="E31" s="46"/>
      <c r="F31" s="44" t="s">
        <v>57</v>
      </c>
      <c r="G31" s="44"/>
      <c r="H31" s="44" t="s">
        <v>37</v>
      </c>
      <c r="I31" s="44"/>
      <c r="J31" s="44"/>
      <c r="Q31" s="23"/>
      <c r="R31" s="4"/>
    </row>
    <row r="32" spans="2:25" x14ac:dyDescent="0.3">
      <c r="B32" s="28"/>
      <c r="C32" s="23"/>
      <c r="D32" s="23"/>
      <c r="E32" s="23"/>
      <c r="F32" s="9"/>
      <c r="G32" s="9"/>
      <c r="H32" s="9"/>
      <c r="I32" s="9"/>
      <c r="J32" s="9"/>
      <c r="Q32" s="23"/>
      <c r="R32" s="4"/>
    </row>
    <row r="33" spans="2:18" x14ac:dyDescent="0.3">
      <c r="B33" s="1" t="s">
        <v>9</v>
      </c>
      <c r="C33" s="17" t="s">
        <v>11</v>
      </c>
      <c r="D33" s="17" t="s">
        <v>13</v>
      </c>
      <c r="E33" s="17" t="s">
        <v>14</v>
      </c>
      <c r="F33" s="9"/>
      <c r="G33" s="9"/>
      <c r="H33" s="9"/>
      <c r="I33" s="9"/>
      <c r="J33" s="9"/>
      <c r="Q33" s="23"/>
      <c r="R33" s="4"/>
    </row>
    <row r="34" spans="2:18" x14ac:dyDescent="0.3">
      <c r="B34" s="49" t="s">
        <v>26</v>
      </c>
      <c r="C34" s="49"/>
      <c r="D34" s="49"/>
      <c r="E34" s="49"/>
      <c r="F34" s="51"/>
      <c r="G34" s="51"/>
      <c r="H34" s="51"/>
      <c r="I34" s="51"/>
      <c r="J34" s="51"/>
      <c r="Q34" s="23"/>
      <c r="R34" s="4"/>
    </row>
    <row r="35" spans="2:18" ht="64.5" customHeight="1" x14ac:dyDescent="0.3">
      <c r="B35" s="24" t="s">
        <v>10</v>
      </c>
      <c r="C35" s="12" t="s">
        <v>2</v>
      </c>
      <c r="D35" s="40">
        <f>IF(H9=0,CEILING(H5/3,1),CEILING((H9)/(3*0.32),1))</f>
        <v>0</v>
      </c>
      <c r="E35" s="40">
        <f>IF(H9=0,CEILING(H5/4,1),CEILING((H9)/(4*0.32),1))</f>
        <v>0</v>
      </c>
      <c r="F35" s="44" t="s">
        <v>41</v>
      </c>
      <c r="G35" s="44"/>
      <c r="H35" s="44" t="s">
        <v>58</v>
      </c>
      <c r="I35" s="44"/>
      <c r="J35" s="44"/>
      <c r="Q35" s="23"/>
      <c r="R35" s="4"/>
    </row>
    <row r="36" spans="2:18" ht="32.25" customHeight="1" x14ac:dyDescent="0.3">
      <c r="B36" s="24" t="s">
        <v>15</v>
      </c>
      <c r="C36" s="12" t="s">
        <v>2</v>
      </c>
      <c r="D36" s="40">
        <f>CEILING(H9*2.75/3,1)</f>
        <v>0</v>
      </c>
      <c r="E36" s="40">
        <f>CEILING(H9*2.75/4,1)</f>
        <v>0</v>
      </c>
      <c r="F36" s="44" t="s">
        <v>42</v>
      </c>
      <c r="G36" s="44"/>
      <c r="H36" s="44" t="s">
        <v>43</v>
      </c>
      <c r="I36" s="44"/>
      <c r="J36" s="44"/>
    </row>
    <row r="37" spans="2:18" ht="32.25" customHeight="1" x14ac:dyDescent="0.3">
      <c r="B37" s="71" t="s">
        <v>79</v>
      </c>
      <c r="C37" s="39" t="s">
        <v>2</v>
      </c>
      <c r="D37" s="45">
        <f>D35*3*4</f>
        <v>0</v>
      </c>
      <c r="E37" s="46"/>
      <c r="F37" s="43" t="s">
        <v>77</v>
      </c>
      <c r="G37" s="44"/>
      <c r="H37" s="43" t="s">
        <v>78</v>
      </c>
      <c r="I37" s="44"/>
      <c r="J37" s="44"/>
    </row>
    <row r="38" spans="2:18" x14ac:dyDescent="0.3">
      <c r="B38" s="49" t="s">
        <v>25</v>
      </c>
      <c r="C38" s="49"/>
      <c r="D38" s="49"/>
      <c r="E38" s="49"/>
      <c r="F38" s="51"/>
      <c r="G38" s="51"/>
      <c r="H38" s="51"/>
      <c r="I38" s="51"/>
      <c r="J38" s="51"/>
    </row>
    <row r="39" spans="2:18" ht="32.25" customHeight="1" x14ac:dyDescent="0.3">
      <c r="B39" s="10" t="s">
        <v>19</v>
      </c>
      <c r="C39" s="12" t="s">
        <v>2</v>
      </c>
      <c r="D39" s="40">
        <f>CEILING(IF(B39="Торцевая планка Grand Line",(H10*H5)/(0.118*3),
IF(B39="Террасная доска Grand Line 140 мм",(H10*H5)/(0.14*3),
IF(B39="Террасная доска Grand Line 160 мм",(H10*H5)/(0.16*3)))),1)</f>
        <v>0</v>
      </c>
      <c r="E39" s="40">
        <f>CEILING(IF(B39="Торцевая планка Grand Line",(H10*H5)/(0.118*4),
IF(B39="Террасная доска Grand Line 140 мм",(H10*H5)/(0.14*4),
IF(B39="Террасная доска Grand Line 160 мм",(H10*H5)/(0.16*4)))),1)</f>
        <v>0</v>
      </c>
      <c r="F39" s="44" t="s">
        <v>59</v>
      </c>
      <c r="G39" s="44"/>
      <c r="H39" s="44" t="s">
        <v>60</v>
      </c>
      <c r="I39" s="44"/>
      <c r="J39" s="44"/>
    </row>
    <row r="40" spans="2:18" x14ac:dyDescent="0.3">
      <c r="B40" s="49" t="s">
        <v>30</v>
      </c>
      <c r="C40" s="49"/>
      <c r="D40" s="49"/>
      <c r="E40" s="49"/>
      <c r="F40" s="51"/>
      <c r="G40" s="51"/>
      <c r="H40" s="51"/>
      <c r="I40" s="51"/>
      <c r="J40" s="51"/>
    </row>
    <row r="41" spans="2:18" ht="32.25" customHeight="1" x14ac:dyDescent="0.3">
      <c r="B41" s="24" t="s">
        <v>15</v>
      </c>
      <c r="C41" s="12" t="s">
        <v>2</v>
      </c>
      <c r="D41" s="40">
        <f>CEILING((H10*H5)*2.75/3,1)</f>
        <v>0</v>
      </c>
      <c r="E41" s="40">
        <f>CEILING((H10*H5)*2.75/4,1)</f>
        <v>0</v>
      </c>
      <c r="F41" s="44" t="s">
        <v>61</v>
      </c>
      <c r="G41" s="44"/>
      <c r="H41" s="44" t="s">
        <v>62</v>
      </c>
      <c r="I41" s="44"/>
      <c r="J41" s="44"/>
    </row>
    <row r="42" spans="2:18" x14ac:dyDescent="0.3">
      <c r="B42" s="49" t="s">
        <v>24</v>
      </c>
      <c r="C42" s="49"/>
      <c r="D42" s="49"/>
      <c r="E42" s="49"/>
      <c r="F42" s="51"/>
      <c r="G42" s="51"/>
      <c r="H42" s="51"/>
      <c r="I42" s="51"/>
      <c r="J42" s="51"/>
    </row>
    <row r="43" spans="2:18" ht="32.25" customHeight="1" x14ac:dyDescent="0.3">
      <c r="B43" s="50" t="s">
        <v>22</v>
      </c>
      <c r="C43" s="50"/>
      <c r="D43" s="50"/>
      <c r="E43" s="50"/>
      <c r="F43" s="44" t="s">
        <v>48</v>
      </c>
      <c r="G43" s="44"/>
      <c r="H43" s="44" t="s">
        <v>47</v>
      </c>
      <c r="I43" s="44"/>
      <c r="J43" s="44"/>
    </row>
    <row r="44" spans="2:18" x14ac:dyDescent="0.3">
      <c r="B44" s="13" t="s">
        <v>19</v>
      </c>
      <c r="C44" s="12" t="s">
        <v>2</v>
      </c>
      <c r="D44" s="40">
        <f>IF(B43="Террасная доска",CEILING(IF(B44="Террасная доска Grand Line 140 мм",H12/(0.14*3),
IF(B44="Террасная доска Grand Line 160 мм",H12/(0.16*3))),1),0)</f>
        <v>0</v>
      </c>
      <c r="E44" s="40">
        <f>IF(B43="Террасная доска",CEILING(IF(B44="Террасная доска Grand Line 140 мм",H12/(0.14*4),
IF(B44="Террасная доска Grand Line 160 мм",H12/(0.16*4))),1),0)</f>
        <v>0</v>
      </c>
      <c r="F44" s="53"/>
      <c r="G44" s="53"/>
      <c r="H44" s="53"/>
      <c r="I44" s="53"/>
      <c r="J44" s="53"/>
    </row>
    <row r="45" spans="2:18" x14ac:dyDescent="0.3">
      <c r="B45" s="24" t="str">
        <f>IF(B43="Фасадная панель","Фасадная панель Grand Line",
IF(B43="Торцевая планка","Торцевая планка Grand Line",
IF(B43="Террасная доска","-")))</f>
        <v>-</v>
      </c>
      <c r="C45" s="12" t="s">
        <v>2</v>
      </c>
      <c r="D45" s="40">
        <f>IF(B45="Фасадная панель Grand Line",CEILING(H12/(0.145*3),1),
IF(B45="Торцевая планка Grand Line",CEILING(H12/(0.118*3),1),
IF(B45="-",0)))</f>
        <v>0</v>
      </c>
      <c r="E45" s="40">
        <f>IF(B45="Фасадная панель Grand Line",CEILING(H12/(0.145*4),1),
IF(B45="Торцевая планка Grand Line",CEILING(H12/(0.118*4),1),
IF(B45="-",0)))</f>
        <v>0</v>
      </c>
      <c r="F45" s="53"/>
      <c r="G45" s="53"/>
      <c r="H45" s="53"/>
      <c r="I45" s="53"/>
      <c r="J45" s="53"/>
    </row>
    <row r="46" spans="2:18" ht="32.25" customHeight="1" x14ac:dyDescent="0.3">
      <c r="B46" s="49" t="s">
        <v>31</v>
      </c>
      <c r="C46" s="49"/>
      <c r="D46" s="49"/>
      <c r="E46" s="49"/>
      <c r="F46" s="51"/>
      <c r="G46" s="51"/>
      <c r="H46" s="51"/>
      <c r="I46" s="51"/>
      <c r="J46" s="51"/>
    </row>
    <row r="47" spans="2:18" ht="32.25" customHeight="1" x14ac:dyDescent="0.3">
      <c r="B47" s="27" t="s">
        <v>15</v>
      </c>
      <c r="C47" s="12" t="s">
        <v>2</v>
      </c>
      <c r="D47" s="40">
        <f>CEILING(H12*2.75/3,1)</f>
        <v>0</v>
      </c>
      <c r="E47" s="40">
        <f>CEILING(H12*2.75/4,1)</f>
        <v>0</v>
      </c>
      <c r="F47" s="44" t="s">
        <v>49</v>
      </c>
      <c r="G47" s="44"/>
      <c r="H47" s="44" t="s">
        <v>51</v>
      </c>
      <c r="I47" s="44"/>
      <c r="J47" s="44"/>
    </row>
    <row r="48" spans="2:18" ht="32.25" customHeight="1" x14ac:dyDescent="0.3">
      <c r="B48" s="27" t="s">
        <v>7</v>
      </c>
      <c r="C48" s="12" t="s">
        <v>2</v>
      </c>
      <c r="D48" s="40">
        <f>CEILING(H11/3,1)</f>
        <v>0</v>
      </c>
      <c r="E48" s="40">
        <f>CEILING(H11/4,1)</f>
        <v>0</v>
      </c>
      <c r="F48" s="44" t="s">
        <v>52</v>
      </c>
      <c r="G48" s="44"/>
      <c r="H48" s="44" t="s">
        <v>53</v>
      </c>
      <c r="I48" s="44"/>
      <c r="J48" s="44"/>
    </row>
    <row r="49" spans="2:10" x14ac:dyDescent="0.3">
      <c r="B49" s="24"/>
      <c r="C49" s="12"/>
      <c r="D49" s="47"/>
      <c r="E49" s="48"/>
      <c r="F49" s="60"/>
      <c r="G49" s="60"/>
      <c r="H49" s="60"/>
      <c r="I49" s="60"/>
      <c r="J49" s="60"/>
    </row>
    <row r="50" spans="2:10" x14ac:dyDescent="0.3"/>
    <row r="51" spans="2:10" ht="16.5" x14ac:dyDescent="0.3">
      <c r="B51" s="29" t="s">
        <v>18</v>
      </c>
      <c r="C51" s="30" t="s">
        <v>16</v>
      </c>
      <c r="D51" s="30" t="s">
        <v>17</v>
      </c>
    </row>
    <row r="52" spans="2:10" x14ac:dyDescent="0.3">
      <c r="B52" s="36" t="str">
        <f t="shared" ref="B52:B70" ca="1" si="9">IF(MAX(nomber)&lt;ROW(1:1),"",VLOOKUP(ROW(1:1),allnomber,2))</f>
        <v>Террасная доска Grand Line 140 мм</v>
      </c>
      <c r="C52" s="42">
        <f ca="1">IFERROR(CEILING(IF(VLOOKUP(B52,$F$109:$H$127,3,FALSE)=0,"",VLOOKUP(B52,$F$109:$H$127,3,FALSE))*IF("Ступень Grand Line массив"=B52,1,1.05),1)," ")</f>
        <v>26</v>
      </c>
      <c r="D52" s="42">
        <f ca="1">IFERROR(CEILING(IF(VLOOKUP(B52,$F$109:$I$127,4,FALSE)=0,"",VLOOKUP(B52,$F$109:$I$127,4,FALSE))*IF("Ступень Grand Line массив"=B52,1,1.05),1)," ")</f>
        <v>19</v>
      </c>
      <c r="E52" s="37" t="str">
        <f ca="1">IF("Ступень Grand Line массив"=B52," ","с учетом запаса 5%")</f>
        <v>с учетом запаса 5%</v>
      </c>
      <c r="G52" s="7"/>
    </row>
    <row r="53" spans="2:10" x14ac:dyDescent="0.3">
      <c r="B53" s="36" t="str">
        <f t="shared" ca="1" si="9"/>
        <v>Лага ДПК (монтажная рейка) Grand Line</v>
      </c>
      <c r="C53" s="42">
        <f ca="1">IFERROR(CEILING(IF(VLOOKUP(B53,$F$109:$H$127,3,FALSE)=0,"",VLOOKUP(B53,$F$109:$H$127,3,FALSE))*IF("Ступень Grand Line массив"=B53,1,1.1),1)," ")</f>
        <v>11</v>
      </c>
      <c r="D53" s="42">
        <f ca="1">IFERROR(CEILING(IF(VLOOKUP(B53,$F$109:$I$127,4,FALSE)=0,"",VLOOKUP(B53,$F$109:$I$127,4,FALSE))*IF("Ступень Grand Line массив"=B53,1,1.1),1)," ")</f>
        <v>8</v>
      </c>
      <c r="E53" s="37" t="str">
        <f ca="1">IF(C53&lt;&gt;" ","с учетом запаса 10%"," ")</f>
        <v>с учетом запаса 10%</v>
      </c>
      <c r="G53" s="7"/>
    </row>
    <row r="54" spans="2:10" x14ac:dyDescent="0.3">
      <c r="B54" s="36" t="str">
        <f t="shared" ca="1" si="9"/>
        <v>Кляммер для ДПК металлический основной 8 мм (35 шт)</v>
      </c>
      <c r="C54" s="42">
        <f t="shared" ref="C54:C70" ca="1" si="10">IF(VLOOKUP(B54,$F$109:$H$127,3,FALSE)=0,"",VLOOKUP(B54,$F$109:$H$127,3,FALSE))</f>
        <v>6</v>
      </c>
      <c r="D54" s="42" t="str">
        <f t="shared" ref="D54:D70" ca="1" si="11">IF(VLOOKUP(B54,$F$109:$I$127,4,FALSE)=0,"",VLOOKUP(B54,$F$109:$I$127,4,FALSE))</f>
        <v/>
      </c>
      <c r="E54" s="38"/>
    </row>
    <row r="55" spans="2:10" x14ac:dyDescent="0.3">
      <c r="B55" s="36" t="str">
        <f t="shared" ca="1" si="9"/>
        <v>Саморез для кляммеров террасной доски (Pz 4,0х30) желтый цинк</v>
      </c>
      <c r="C55" s="42">
        <f t="shared" ca="1" si="10"/>
        <v>210</v>
      </c>
      <c r="D55" s="42" t="str">
        <f t="shared" ca="1" si="11"/>
        <v/>
      </c>
      <c r="E55" s="38"/>
    </row>
    <row r="56" spans="2:10" x14ac:dyDescent="0.3">
      <c r="B56" s="36" t="str">
        <f t="shared" ca="1" si="9"/>
        <v/>
      </c>
      <c r="C56" s="42" t="str">
        <f t="shared" ca="1" si="10"/>
        <v/>
      </c>
      <c r="D56" s="42" t="str">
        <f t="shared" ca="1" si="11"/>
        <v/>
      </c>
      <c r="E56" s="38"/>
    </row>
    <row r="57" spans="2:10" x14ac:dyDescent="0.3">
      <c r="B57" s="36" t="str">
        <f t="shared" ca="1" si="9"/>
        <v/>
      </c>
      <c r="C57" s="42" t="str">
        <f t="shared" ca="1" si="10"/>
        <v/>
      </c>
      <c r="D57" s="42" t="str">
        <f t="shared" ca="1" si="11"/>
        <v/>
      </c>
      <c r="E57" s="38"/>
    </row>
    <row r="58" spans="2:10" x14ac:dyDescent="0.3">
      <c r="B58" s="36" t="str">
        <f t="shared" ca="1" si="9"/>
        <v/>
      </c>
      <c r="C58" s="42" t="str">
        <f t="shared" ca="1" si="10"/>
        <v/>
      </c>
      <c r="D58" s="42" t="str">
        <f t="shared" ca="1" si="11"/>
        <v/>
      </c>
      <c r="E58" s="38"/>
    </row>
    <row r="59" spans="2:10" x14ac:dyDescent="0.3">
      <c r="B59" s="36" t="str">
        <f t="shared" ca="1" si="9"/>
        <v/>
      </c>
      <c r="C59" s="42" t="str">
        <f t="shared" ca="1" si="10"/>
        <v/>
      </c>
      <c r="D59" s="42" t="str">
        <f t="shared" ca="1" si="11"/>
        <v/>
      </c>
      <c r="E59" s="38"/>
    </row>
    <row r="60" spans="2:10" x14ac:dyDescent="0.3">
      <c r="B60" s="36" t="str">
        <f t="shared" ca="1" si="9"/>
        <v/>
      </c>
      <c r="C60" s="42" t="str">
        <f t="shared" ca="1" si="10"/>
        <v/>
      </c>
      <c r="D60" s="42" t="str">
        <f t="shared" ca="1" si="11"/>
        <v/>
      </c>
      <c r="E60" s="38"/>
    </row>
    <row r="61" spans="2:10" x14ac:dyDescent="0.3">
      <c r="B61" s="36" t="str">
        <f t="shared" ca="1" si="9"/>
        <v/>
      </c>
      <c r="C61" s="42" t="str">
        <f t="shared" ca="1" si="10"/>
        <v/>
      </c>
      <c r="D61" s="42" t="str">
        <f t="shared" ca="1" si="11"/>
        <v/>
      </c>
      <c r="E61" s="38"/>
    </row>
    <row r="62" spans="2:10" x14ac:dyDescent="0.3">
      <c r="B62" s="36" t="str">
        <f t="shared" ca="1" si="9"/>
        <v/>
      </c>
      <c r="C62" s="42" t="str">
        <f t="shared" ca="1" si="10"/>
        <v/>
      </c>
      <c r="D62" s="42" t="str">
        <f t="shared" ca="1" si="11"/>
        <v/>
      </c>
      <c r="E62" s="38"/>
    </row>
    <row r="63" spans="2:10" x14ac:dyDescent="0.3">
      <c r="B63" s="36" t="str">
        <f t="shared" ca="1" si="9"/>
        <v/>
      </c>
      <c r="C63" s="42" t="str">
        <f t="shared" ca="1" si="10"/>
        <v/>
      </c>
      <c r="D63" s="42" t="str">
        <f t="shared" ca="1" si="11"/>
        <v/>
      </c>
      <c r="E63" s="38"/>
    </row>
    <row r="64" spans="2:10" x14ac:dyDescent="0.3">
      <c r="B64" s="36" t="str">
        <f t="shared" ca="1" si="9"/>
        <v/>
      </c>
      <c r="C64" s="42" t="str">
        <f t="shared" ca="1" si="10"/>
        <v/>
      </c>
      <c r="D64" s="42" t="str">
        <f t="shared" ca="1" si="11"/>
        <v/>
      </c>
      <c r="E64" s="38"/>
    </row>
    <row r="65" spans="2:5" x14ac:dyDescent="0.3">
      <c r="B65" s="36" t="str">
        <f t="shared" ca="1" si="9"/>
        <v/>
      </c>
      <c r="C65" s="42" t="str">
        <f t="shared" ca="1" si="10"/>
        <v/>
      </c>
      <c r="D65" s="42" t="str">
        <f t="shared" ca="1" si="11"/>
        <v/>
      </c>
      <c r="E65" s="38"/>
    </row>
    <row r="66" spans="2:5" x14ac:dyDescent="0.3">
      <c r="B66" s="36" t="str">
        <f t="shared" ca="1" si="9"/>
        <v/>
      </c>
      <c r="C66" s="42" t="str">
        <f t="shared" ca="1" si="10"/>
        <v/>
      </c>
      <c r="D66" s="42" t="str">
        <f t="shared" ca="1" si="11"/>
        <v/>
      </c>
      <c r="E66" s="38"/>
    </row>
    <row r="67" spans="2:5" x14ac:dyDescent="0.3">
      <c r="B67" s="36" t="str">
        <f t="shared" ca="1" si="9"/>
        <v/>
      </c>
      <c r="C67" s="42" t="str">
        <f t="shared" ca="1" si="10"/>
        <v/>
      </c>
      <c r="D67" s="42" t="str">
        <f t="shared" ca="1" si="11"/>
        <v/>
      </c>
      <c r="E67" s="38"/>
    </row>
    <row r="68" spans="2:5" x14ac:dyDescent="0.3">
      <c r="B68" s="36" t="str">
        <f t="shared" ca="1" si="9"/>
        <v/>
      </c>
      <c r="C68" s="42" t="str">
        <f t="shared" ca="1" si="10"/>
        <v/>
      </c>
      <c r="D68" s="42" t="str">
        <f t="shared" ca="1" si="11"/>
        <v/>
      </c>
      <c r="E68" s="38"/>
    </row>
    <row r="69" spans="2:5" x14ac:dyDescent="0.3">
      <c r="B69" s="36" t="str">
        <f t="shared" ca="1" si="9"/>
        <v/>
      </c>
      <c r="C69" s="42" t="str">
        <f t="shared" ca="1" si="10"/>
        <v/>
      </c>
      <c r="D69" s="42" t="str">
        <f t="shared" ca="1" si="11"/>
        <v/>
      </c>
      <c r="E69" s="38"/>
    </row>
    <row r="70" spans="2:5" x14ac:dyDescent="0.3">
      <c r="B70" s="36" t="str">
        <f t="shared" ca="1" si="9"/>
        <v/>
      </c>
      <c r="C70" s="42" t="str">
        <f t="shared" ca="1" si="10"/>
        <v/>
      </c>
      <c r="D70" s="42" t="str">
        <f t="shared" ca="1" si="11"/>
        <v/>
      </c>
      <c r="E70" s="38"/>
    </row>
    <row r="71" spans="2:5" x14ac:dyDescent="0.3"/>
    <row r="72" spans="2:5" x14ac:dyDescent="0.3"/>
    <row r="83" spans="2:10" hidden="1" x14ac:dyDescent="0.3">
      <c r="B83" s="31"/>
      <c r="C83" s="23"/>
      <c r="D83" s="23"/>
      <c r="E83" s="23"/>
    </row>
    <row r="84" spans="2:10" hidden="1" x14ac:dyDescent="0.3">
      <c r="B84" s="31"/>
      <c r="C84" s="23"/>
      <c r="D84" s="23"/>
      <c r="E84" s="23"/>
    </row>
    <row r="86" spans="2:10" hidden="1" x14ac:dyDescent="0.3">
      <c r="G86" s="3" t="str">
        <f>B6</f>
        <v>Террасная доска Grand Line 140 мм</v>
      </c>
      <c r="H86" s="3">
        <f>IF(D17&lt;&gt;0,1,0)</f>
        <v>1</v>
      </c>
      <c r="I86" s="3">
        <f>IF(H86=1,D17,0)</f>
        <v>24</v>
      </c>
      <c r="J86" s="3">
        <f>IF(H86=1,E17,0)</f>
        <v>18</v>
      </c>
    </row>
    <row r="87" spans="2:10" hidden="1" x14ac:dyDescent="0.3">
      <c r="G87" s="3" t="str">
        <f>B19</f>
        <v>Лага ДПК (монтажная рейка) Grand Line</v>
      </c>
      <c r="H87" s="3">
        <f>IF(D19&lt;&gt;0,1,0)</f>
        <v>1</v>
      </c>
      <c r="I87" s="3">
        <f>IF(H87=1,D19,0)</f>
        <v>10</v>
      </c>
      <c r="J87" s="3">
        <f>IF(H87=1,E19,0)</f>
        <v>7</v>
      </c>
    </row>
    <row r="88" spans="2:10" hidden="1" x14ac:dyDescent="0.3">
      <c r="G88" s="3" t="str">
        <f>B20</f>
        <v>Кляммер для ДПК металлический основной 8 мм (35 шт)</v>
      </c>
      <c r="H88" s="3">
        <f>IF(D20&lt;&gt;0,1,0)</f>
        <v>1</v>
      </c>
      <c r="I88" s="3">
        <f>IF(H88=1,D20,0)</f>
        <v>6</v>
      </c>
    </row>
    <row r="89" spans="2:10" hidden="1" x14ac:dyDescent="0.3">
      <c r="G89" s="3" t="str">
        <f>B21</f>
        <v>Кляммер для ДПК металлический стартовый, финишный (10 шт)</v>
      </c>
      <c r="H89" s="3">
        <f>IF(D21&lt;&gt;0,1,0)</f>
        <v>0</v>
      </c>
      <c r="I89" s="3">
        <f>IF(H89=1,D21,0)</f>
        <v>0</v>
      </c>
    </row>
    <row r="90" spans="2:10" hidden="1" x14ac:dyDescent="0.3">
      <c r="G90" s="3" t="str">
        <f>B22</f>
        <v xml:space="preserve">Уголок ДПК Grand Line внешний 50х50мм </v>
      </c>
      <c r="H90" s="3">
        <f>IF(D22&lt;&gt;0,1,0)</f>
        <v>0</v>
      </c>
      <c r="I90" s="3">
        <f>IF(H90=1,D22,0)</f>
        <v>0</v>
      </c>
      <c r="J90" s="3">
        <f>IF(H90=1,E22,0)</f>
        <v>0</v>
      </c>
    </row>
    <row r="91" spans="2:10" hidden="1" x14ac:dyDescent="0.3">
      <c r="G91" s="3" t="str">
        <f>B23</f>
        <v>Саморез для кляммеров террасной доски (Pz 4,0х30) желтый цинк</v>
      </c>
      <c r="H91" s="3">
        <f>IF(D23&lt;&gt;0,1,0)</f>
        <v>1</v>
      </c>
      <c r="I91" s="3">
        <f>IF(H91=1,D23,0)</f>
        <v>210</v>
      </c>
    </row>
    <row r="92" spans="2:10" hidden="1" x14ac:dyDescent="0.3">
      <c r="G92" s="3" t="str">
        <f>B28</f>
        <v>Лага ДПК (монтажная рейка) Grand Line</v>
      </c>
      <c r="H92" s="3">
        <f>IF(D28&lt;&gt;0,1,0)</f>
        <v>0</v>
      </c>
      <c r="I92" s="3">
        <f>IF(H92=1,D28,0)</f>
        <v>0</v>
      </c>
      <c r="J92" s="3">
        <f>IF(H92=1,E28,0)</f>
        <v>0</v>
      </c>
    </row>
    <row r="93" spans="2:10" hidden="1" x14ac:dyDescent="0.3">
      <c r="G93" s="3" t="str">
        <f>B29</f>
        <v xml:space="preserve">Уголок ДПК Grand Line внешний 50х50мм </v>
      </c>
      <c r="H93" s="3">
        <f>IF(D29&lt;&gt;0,1,0)</f>
        <v>0</v>
      </c>
      <c r="I93" s="3">
        <f>IF(H93=1,D29,0)</f>
        <v>0</v>
      </c>
      <c r="J93" s="3">
        <f>IF(H93=1,E29,0)</f>
        <v>0</v>
      </c>
    </row>
    <row r="94" spans="2:10" hidden="1" x14ac:dyDescent="0.3">
      <c r="G94" s="32" t="str">
        <f>B26</f>
        <v>Террасная доска Grand Line 160 мм</v>
      </c>
      <c r="H94" s="3">
        <f>IF(D26&lt;&gt;0,1,0)</f>
        <v>0</v>
      </c>
      <c r="I94" s="3">
        <f>IF(H94=1,D26,0)</f>
        <v>0</v>
      </c>
      <c r="J94" s="3">
        <f>IF(H94=1,E26,0)</f>
        <v>0</v>
      </c>
    </row>
    <row r="95" spans="2:10" hidden="1" x14ac:dyDescent="0.3">
      <c r="E95" s="6"/>
      <c r="G95" s="32" t="str">
        <f>B30</f>
        <v>Кляммер для ДПК металлический основной 8 мм (35 шт)</v>
      </c>
      <c r="H95" s="3">
        <f>IF(D30&lt;&gt;0,1,0)</f>
        <v>0</v>
      </c>
      <c r="I95" s="3">
        <f>IF(H95=1,D30,0)</f>
        <v>0</v>
      </c>
      <c r="J95" s="3">
        <f>IF(H95=1,E30,0)</f>
        <v>0</v>
      </c>
    </row>
    <row r="96" spans="2:10" hidden="1" x14ac:dyDescent="0.3">
      <c r="E96" s="2"/>
      <c r="G96" s="32" t="str">
        <f>B31</f>
        <v>Кляммер для ДПК металлический стартовый, финишный (10 шт)</v>
      </c>
      <c r="H96" s="3">
        <f>IF(D31&lt;&gt;0,1,0)</f>
        <v>0</v>
      </c>
      <c r="I96" s="3">
        <f>IF(H96=1,D31,0)</f>
        <v>0</v>
      </c>
    </row>
    <row r="97" spans="2:10" hidden="1" x14ac:dyDescent="0.3">
      <c r="G97" s="3" t="str">
        <f>B35</f>
        <v>Ступень Grand Line массив</v>
      </c>
      <c r="H97" s="3">
        <f>IF(D35&lt;&gt;0,1,0)</f>
        <v>0</v>
      </c>
      <c r="I97" s="3">
        <f>IF(H97=1,D35,0)</f>
        <v>0</v>
      </c>
      <c r="J97" s="3">
        <f>IF(H97=1,E35,0)</f>
        <v>0</v>
      </c>
    </row>
    <row r="98" spans="2:10" hidden="1" x14ac:dyDescent="0.3">
      <c r="G98" s="3" t="str">
        <f>B36</f>
        <v>Лага ДПК (монтажная рейка) Grand Line</v>
      </c>
      <c r="H98" s="3">
        <f>IF(D36&lt;&gt;0,1,0)</f>
        <v>0</v>
      </c>
      <c r="I98" s="3">
        <f>IF(H98=1,D36,0)</f>
        <v>0</v>
      </c>
      <c r="J98" s="3">
        <f>IF(H98=1,E36,0)</f>
        <v>0</v>
      </c>
    </row>
    <row r="99" spans="2:10" hidden="1" x14ac:dyDescent="0.3">
      <c r="E99" s="32"/>
      <c r="G99" s="3" t="str">
        <f>B37</f>
        <v>Саморез для крепления ступеней ДПК (Pz 6,0х40) желтый цинк</v>
      </c>
      <c r="H99" s="3">
        <f>IF(D37&lt;&gt;0,1,0)</f>
        <v>0</v>
      </c>
      <c r="I99" s="3">
        <f>IF(H99=1,D37,0)</f>
        <v>0</v>
      </c>
      <c r="J99" s="3">
        <f>IF(H99=1,E37,0)</f>
        <v>0</v>
      </c>
    </row>
    <row r="100" spans="2:10" hidden="1" x14ac:dyDescent="0.3">
      <c r="E100" s="32"/>
      <c r="G100" s="3" t="str">
        <f>B41</f>
        <v>Лага ДПК (монтажная рейка) Grand Line</v>
      </c>
      <c r="H100" s="3">
        <f>IF(D41&lt;&gt;0,1,0)</f>
        <v>0</v>
      </c>
      <c r="I100" s="3">
        <f>IF(H100=1,D41,0)</f>
        <v>0</v>
      </c>
      <c r="J100" s="3">
        <f>IF(H100=1,E41,0)</f>
        <v>0</v>
      </c>
    </row>
    <row r="101" spans="2:10" hidden="1" x14ac:dyDescent="0.3">
      <c r="E101" s="32"/>
      <c r="G101" s="3" t="str">
        <f>B39</f>
        <v>Террасная доска Grand Line 140 мм</v>
      </c>
      <c r="H101" s="3">
        <f>IF(D39&lt;&gt;0,1,0)</f>
        <v>0</v>
      </c>
      <c r="I101" s="3">
        <f>IF(H101=1,D39,0)</f>
        <v>0</v>
      </c>
      <c r="J101" s="3">
        <f>IF(H101=1,E39,0)</f>
        <v>0</v>
      </c>
    </row>
    <row r="102" spans="2:10" ht="15.75" hidden="1" x14ac:dyDescent="0.3">
      <c r="B102" s="33"/>
      <c r="C102" s="33"/>
      <c r="D102" s="33"/>
      <c r="E102" s="32"/>
      <c r="G102" s="3" t="str">
        <f>B47</f>
        <v>Лага ДПК (монтажная рейка) Grand Line</v>
      </c>
      <c r="H102" s="3">
        <f>IF(D47&lt;&gt;0,1,0)</f>
        <v>0</v>
      </c>
      <c r="I102" s="3">
        <f>IF(H102=1,D47,0)</f>
        <v>0</v>
      </c>
      <c r="J102" s="3">
        <f>IF(H102=1,E47,0)</f>
        <v>0</v>
      </c>
    </row>
    <row r="103" spans="2:10" hidden="1" x14ac:dyDescent="0.3">
      <c r="E103" s="32"/>
      <c r="G103" s="3" t="str">
        <f>B48</f>
        <v xml:space="preserve">Уголок ДПК Grand Line внешний 50х50мм </v>
      </c>
      <c r="H103" s="3">
        <f>IF(D48&lt;&gt;0,1,0)</f>
        <v>0</v>
      </c>
      <c r="I103" s="3">
        <f>IF(H103=1,D48,0)</f>
        <v>0</v>
      </c>
      <c r="J103" s="3">
        <f>IF(H103=1,E48,0)</f>
        <v>0</v>
      </c>
    </row>
    <row r="104" spans="2:10" hidden="1" x14ac:dyDescent="0.3">
      <c r="E104" s="32"/>
      <c r="G104" s="3" t="str">
        <f>B44</f>
        <v>Террасная доска Grand Line 140 мм</v>
      </c>
      <c r="H104" s="3">
        <f>IF(D44&lt;&gt;0,1,0)</f>
        <v>0</v>
      </c>
      <c r="I104" s="3">
        <f>IF(H104=1,D44,0)</f>
        <v>0</v>
      </c>
      <c r="J104" s="3">
        <f>IF(H104=1,E44,0)</f>
        <v>0</v>
      </c>
    </row>
    <row r="105" spans="2:10" hidden="1" x14ac:dyDescent="0.3">
      <c r="E105" s="32"/>
      <c r="G105" s="3" t="str">
        <f>B45</f>
        <v>-</v>
      </c>
      <c r="H105" s="3">
        <f>IF(D45&lt;&gt;0,1,0)</f>
        <v>0</v>
      </c>
      <c r="I105" s="3">
        <f>IF(H105=1,D45,0)</f>
        <v>0</v>
      </c>
      <c r="J105" s="3">
        <f>IF(H105=1,E45,0)</f>
        <v>0</v>
      </c>
    </row>
    <row r="106" spans="2:10" hidden="1" x14ac:dyDescent="0.3">
      <c r="E106" s="32"/>
      <c r="F106" s="34"/>
      <c r="G106" s="3">
        <f>B49</f>
        <v>0</v>
      </c>
      <c r="H106" s="3">
        <f>IF(D42&lt;&gt;0,1,0)</f>
        <v>0</v>
      </c>
      <c r="I106" s="3">
        <f>IF(H106=1,D49,0)</f>
        <v>0</v>
      </c>
    </row>
    <row r="107" spans="2:10" hidden="1" x14ac:dyDescent="0.3">
      <c r="F107" s="3"/>
      <c r="G107" s="4"/>
      <c r="H107" s="3">
        <v>1</v>
      </c>
      <c r="I107" s="32"/>
    </row>
    <row r="108" spans="2:10" hidden="1" x14ac:dyDescent="0.3">
      <c r="F108" s="3"/>
      <c r="G108" s="4"/>
    </row>
    <row r="109" spans="2:10" hidden="1" x14ac:dyDescent="0.3">
      <c r="E109" s="35">
        <f>IF(COUNTIF(F$108:F109,F109)=1,MAX(E$108:E108)+1,"")</f>
        <v>1</v>
      </c>
      <c r="F109" s="3" t="str">
        <f t="shared" ref="F109:F114" si="12">IF(H86=1,G86,"")</f>
        <v>Террасная доска Grand Line 140 мм</v>
      </c>
      <c r="G109" s="4"/>
      <c r="H109" s="3">
        <f t="array" ref="H109">SUM(($G$86:$G$106=F109)*($H$107=1)*$I$86:$I$106)</f>
        <v>24</v>
      </c>
      <c r="I109" s="3">
        <f t="array" ref="I109">SUM(($G$86:$G$106=F109)*($H$107=1)*$J$86:$J$106)</f>
        <v>18</v>
      </c>
    </row>
    <row r="110" spans="2:10" hidden="1" x14ac:dyDescent="0.3">
      <c r="E110" s="35">
        <f>IF(COUNTIF(F$108:F110,F110)=1,MAX(E$108:E109)+1,"")</f>
        <v>2</v>
      </c>
      <c r="F110" s="3" t="str">
        <f t="shared" si="12"/>
        <v>Лага ДПК (монтажная рейка) Grand Line</v>
      </c>
      <c r="G110" s="4"/>
      <c r="H110" s="3">
        <f t="array" ref="H110">SUM(($G$86:$G$106=F110)*($H$107=1)*$I$86:$I$106)</f>
        <v>10</v>
      </c>
      <c r="I110" s="3">
        <f t="array" ref="I110">SUM(($G$86:$G$106=F110)*($H$107=1)*$J$86:$J$106)</f>
        <v>7</v>
      </c>
    </row>
    <row r="111" spans="2:10" hidden="1" x14ac:dyDescent="0.3">
      <c r="E111" s="35">
        <f>IF(COUNTIF(F$108:F111,F111)=1,MAX(E$108:E110)+1,"")</f>
        <v>3</v>
      </c>
      <c r="F111" s="3" t="str">
        <f t="shared" si="12"/>
        <v>Кляммер для ДПК металлический основной 8 мм (35 шт)</v>
      </c>
      <c r="G111" s="4"/>
      <c r="H111" s="3">
        <f t="array" ref="H111">SUM(($G$86:$G$106=F111)*($H$107=1)*$I$86:$I$106)</f>
        <v>6</v>
      </c>
      <c r="I111" s="3">
        <f t="array" ref="I111">SUM(($G$86:$G$106=F111)*($H$107=1)*$J$86:$J$106)</f>
        <v>0</v>
      </c>
    </row>
    <row r="112" spans="2:10" hidden="1" x14ac:dyDescent="0.3">
      <c r="E112" s="35" t="str">
        <f>IF(COUNTIF(F$108:F112,F112)=1,MAX(E$108:E111)+1,"")</f>
        <v/>
      </c>
      <c r="F112" s="3" t="str">
        <f t="shared" si="12"/>
        <v/>
      </c>
      <c r="G112" s="4"/>
      <c r="H112" s="3">
        <f t="array" ref="H112">SUM(($G$86:$G$106=F112)*($H$107=1)*$I$86:$I$106)</f>
        <v>0</v>
      </c>
      <c r="I112" s="3">
        <f t="array" ref="I112">SUM(($G$86:$G$106=F112)*($H$107=1)*$J$86:$J$106)</f>
        <v>0</v>
      </c>
    </row>
    <row r="113" spans="4:11" hidden="1" x14ac:dyDescent="0.3">
      <c r="E113" s="35" t="str">
        <f>IF(COUNTIF(F$108:F113,F113)=1,MAX(E$108:E112)+1,"")</f>
        <v/>
      </c>
      <c r="F113" s="3" t="str">
        <f t="shared" si="12"/>
        <v/>
      </c>
      <c r="G113" s="4"/>
      <c r="H113" s="3">
        <f t="array" ref="H113">SUM(($G$86:$G$106=F113)*($H$107=1)*$I$86:$I$106)</f>
        <v>0</v>
      </c>
      <c r="I113" s="3">
        <f t="array" ref="I113">SUM(($G$86:$G$106=F113)*($H$107=1)*$J$86:$J$106)</f>
        <v>0</v>
      </c>
    </row>
    <row r="114" spans="4:11" hidden="1" x14ac:dyDescent="0.3">
      <c r="E114" s="35">
        <f>IF(COUNTIF(F$108:F114,F114)=1,MAX(E$108:E113)+1,"")</f>
        <v>4</v>
      </c>
      <c r="F114" s="3" t="str">
        <f t="shared" si="12"/>
        <v>Саморез для кляммеров террасной доски (Pz 4,0х30) желтый цинк</v>
      </c>
      <c r="G114" s="4"/>
      <c r="H114" s="3">
        <f t="array" ref="H114">SUM(($G$86:$G$106=F114)*($H$107=1)*$I$86:$I$106)</f>
        <v>210</v>
      </c>
      <c r="I114" s="3">
        <f t="array" ref="I114">SUM(($G$86:$G$106=F114)*($H$107=1)*$J$86:$J$106)</f>
        <v>0</v>
      </c>
    </row>
    <row r="115" spans="4:11" hidden="1" x14ac:dyDescent="0.3">
      <c r="E115" s="35" t="str">
        <f>IF(COUNTIF(F$108:F115,F115)=1,MAX(E$108:E114)+1,"")</f>
        <v/>
      </c>
      <c r="F115" s="3" t="str">
        <f t="shared" ref="F115:F126" si="13">IF(H92=1,G92,"")</f>
        <v/>
      </c>
      <c r="G115" s="4"/>
      <c r="H115" s="3">
        <f t="array" ref="H115">SUM(($G$86:$G$106=F115)*($H$107=1)*$I$86:$I$106)</f>
        <v>0</v>
      </c>
      <c r="I115" s="3">
        <f t="array" ref="I115">SUM(($G$86:$G$106=F115)*($H$107=1)*$J$86:$J$106)</f>
        <v>0</v>
      </c>
      <c r="J115" s="4"/>
      <c r="K115" s="5"/>
    </row>
    <row r="116" spans="4:11" hidden="1" x14ac:dyDescent="0.3">
      <c r="E116" s="35" t="str">
        <f>IF(COUNTIF(F$108:F116,F116)=1,MAX(E$108:E115)+1,"")</f>
        <v/>
      </c>
      <c r="F116" s="3" t="str">
        <f t="shared" si="13"/>
        <v/>
      </c>
      <c r="G116" s="4"/>
      <c r="H116" s="3">
        <f t="array" ref="H116">SUM(($G$86:$G$106=F116)*($H$107=1)*$I$86:$I$106)</f>
        <v>0</v>
      </c>
      <c r="I116" s="3">
        <f t="array" ref="I116">SUM(($G$86:$G$106=F116)*($H$107=1)*$J$86:$J$106)</f>
        <v>0</v>
      </c>
    </row>
    <row r="117" spans="4:11" hidden="1" x14ac:dyDescent="0.3">
      <c r="E117" s="35" t="str">
        <f>IF(COUNTIF(F$108:F117,F117)=1,MAX(E$108:E116)+1,"")</f>
        <v/>
      </c>
      <c r="F117" s="3" t="str">
        <f t="shared" si="13"/>
        <v/>
      </c>
      <c r="G117" s="4"/>
      <c r="H117" s="3">
        <f t="array" ref="H117">SUM(($G$86:$G$106=F117)*($H$107=1)*$I$86:$I$106)</f>
        <v>0</v>
      </c>
      <c r="I117" s="3">
        <f t="array" ref="I117">SUM(($G$86:$G$106=F117)*($H$107=1)*$J$86:$J$106)</f>
        <v>0</v>
      </c>
    </row>
    <row r="118" spans="4:11" hidden="1" x14ac:dyDescent="0.3">
      <c r="E118" s="35" t="str">
        <f>IF(COUNTIF(F$108:F118,F118)=1,MAX(E$108:E117)+1,"")</f>
        <v/>
      </c>
      <c r="F118" s="3" t="str">
        <f t="shared" si="13"/>
        <v/>
      </c>
      <c r="G118" s="4"/>
      <c r="H118" s="3">
        <f t="array" ref="H118">SUM(($G$86:$G$106=F118)*($H$107=1)*$I$86:$I$106)</f>
        <v>0</v>
      </c>
      <c r="I118" s="3">
        <f t="array" ref="I118">SUM(($G$86:$G$106=F118)*($H$107=1)*$J$86:$J$106)</f>
        <v>0</v>
      </c>
    </row>
    <row r="119" spans="4:11" hidden="1" x14ac:dyDescent="0.3">
      <c r="E119" s="35" t="str">
        <f>IF(COUNTIF(F$108:F119,F119)=1,MAX(E$108:E118)+1,"")</f>
        <v/>
      </c>
      <c r="F119" s="3" t="str">
        <f t="shared" si="13"/>
        <v/>
      </c>
      <c r="G119" s="4"/>
      <c r="H119" s="3">
        <f t="array" ref="H119">SUM(($G$86:$G$106=F119)*($H$107=1)*$I$86:$I$106)</f>
        <v>0</v>
      </c>
      <c r="I119" s="3">
        <f t="array" ref="I119">SUM(($G$86:$G$106=F119)*($H$107=1)*$J$86:$J$106)</f>
        <v>0</v>
      </c>
    </row>
    <row r="120" spans="4:11" hidden="1" x14ac:dyDescent="0.3">
      <c r="E120" s="35" t="str">
        <f>IF(COUNTIF(F$108:F120,F120)=1,MAX(E$108:E119)+1,"")</f>
        <v/>
      </c>
      <c r="F120" s="3" t="str">
        <f t="shared" si="13"/>
        <v/>
      </c>
      <c r="G120" s="4"/>
      <c r="H120" s="3">
        <f t="array" ref="H120">SUM(($G$86:$G$106=F120)*($H$107=1)*$I$86:$I$106)</f>
        <v>0</v>
      </c>
      <c r="I120" s="3">
        <f t="array" ref="I120">SUM(($G$86:$G$106=F120)*($H$107=1)*$J$86:$J$106)</f>
        <v>0</v>
      </c>
    </row>
    <row r="121" spans="4:11" hidden="1" x14ac:dyDescent="0.3">
      <c r="E121" s="35" t="str">
        <f>IF(COUNTIF(F$108:F121,F121)=1,MAX(E$108:E120)+1,"")</f>
        <v/>
      </c>
      <c r="F121" s="3" t="str">
        <f t="shared" si="13"/>
        <v/>
      </c>
      <c r="G121" s="4"/>
      <c r="H121" s="3">
        <f t="array" ref="H121">SUM(($G$86:$G$106=F121)*($H$107=1)*$I$86:$I$106)</f>
        <v>0</v>
      </c>
      <c r="I121" s="3">
        <f t="array" ref="I121">SUM(($G$86:$G$106=F121)*($H$107=1)*$J$86:$J$106)</f>
        <v>0</v>
      </c>
    </row>
    <row r="122" spans="4:11" hidden="1" x14ac:dyDescent="0.3">
      <c r="E122" s="35" t="str">
        <f>IF(COUNTIF(F$108:F122,F122)=1,MAX(E$108:E121)+1,"")</f>
        <v/>
      </c>
      <c r="F122" s="3" t="str">
        <f t="shared" si="13"/>
        <v/>
      </c>
      <c r="G122" s="4"/>
      <c r="H122" s="3">
        <f t="array" ref="H122">SUM(($G$86:$G$106=F122)*($H$107=1)*$I$86:$I$106)</f>
        <v>0</v>
      </c>
      <c r="I122" s="3">
        <f t="array" ref="I122">SUM(($G$86:$G$106=F122)*($H$107=1)*$J$86:$J$106)</f>
        <v>0</v>
      </c>
    </row>
    <row r="123" spans="4:11" hidden="1" x14ac:dyDescent="0.3">
      <c r="E123" s="35" t="str">
        <f>IF(COUNTIF(F$108:F123,F123)=1,MAX(E$108:E122)+1,"")</f>
        <v/>
      </c>
      <c r="F123" s="3" t="str">
        <f t="shared" si="13"/>
        <v/>
      </c>
      <c r="G123" s="4"/>
      <c r="H123" s="3">
        <f t="array" ref="H123">SUM(($G$86:$G$106=F123)*($H$107=1)*$I$86:$I$106)</f>
        <v>0</v>
      </c>
      <c r="I123" s="3">
        <f t="array" ref="I123">SUM(($G$86:$G$106=F123)*($H$107=1)*$J$86:$J$106)</f>
        <v>0</v>
      </c>
    </row>
    <row r="124" spans="4:11" hidden="1" x14ac:dyDescent="0.3">
      <c r="E124" s="35" t="str">
        <f>IF(COUNTIF(F$108:F124,F124)=1,MAX(E$108:E123)+1,"")</f>
        <v/>
      </c>
      <c r="F124" s="3" t="str">
        <f t="shared" si="13"/>
        <v/>
      </c>
      <c r="G124" s="4"/>
      <c r="H124" s="3">
        <f t="array" ref="H124">SUM(($G$86:$G$106=F124)*($H$107=1)*$I$86:$I$106)</f>
        <v>0</v>
      </c>
      <c r="I124" s="3">
        <f t="array" ref="I124">SUM(($G$86:$G$106=F124)*($H$107=1)*$J$86:$J$106)</f>
        <v>0</v>
      </c>
    </row>
    <row r="125" spans="4:11" hidden="1" x14ac:dyDescent="0.3">
      <c r="E125" s="35" t="str">
        <f>IF(COUNTIF(F$108:F125,F125)=1,MAX(E$108:E124)+1,"")</f>
        <v/>
      </c>
      <c r="F125" s="3" t="str">
        <f t="shared" si="13"/>
        <v/>
      </c>
      <c r="G125" s="4"/>
      <c r="H125" s="3">
        <f t="array" ref="H125">SUM(($G$86:$G$106=F125)*($H$107=1)*$I$86:$I$106)</f>
        <v>0</v>
      </c>
      <c r="I125" s="3">
        <f t="array" ref="I125">SUM(($G$86:$G$106=F125)*($H$107=1)*$J$86:$J$106)</f>
        <v>0</v>
      </c>
    </row>
    <row r="126" spans="4:11" hidden="1" x14ac:dyDescent="0.3">
      <c r="E126" s="35" t="str">
        <f>IF(COUNTIF(F$108:F126,F126)=1,MAX(E$108:E125)+1,"")</f>
        <v/>
      </c>
      <c r="F126" s="3" t="str">
        <f t="shared" si="13"/>
        <v/>
      </c>
      <c r="G126" s="4"/>
      <c r="H126" s="3">
        <f t="array" ref="H126">SUM(($G$86:$G$106=F126)*($H$107=1)*$I$86:$I$106)</f>
        <v>0</v>
      </c>
      <c r="I126" s="3">
        <f t="array" ref="I126">SUM(($G$86:$G$106=F126)*($H$107=1)*$J$86:$J$106)</f>
        <v>0</v>
      </c>
    </row>
    <row r="127" spans="4:11" hidden="1" x14ac:dyDescent="0.3">
      <c r="E127" s="35" t="str">
        <f>IF(COUNTIF(F$108:F127,F127)=1,MAX(E$108:E126)+1,"")</f>
        <v/>
      </c>
      <c r="F127" s="3" t="str">
        <f>IF(H104=1,G104,"")</f>
        <v/>
      </c>
      <c r="G127" s="4"/>
      <c r="H127" s="3">
        <f t="array" ref="H127">SUM(($G$86:$G$106=F127)*($H$107=1)*$I$86:$I$106)</f>
        <v>0</v>
      </c>
      <c r="I127" s="3">
        <f t="array" ref="I127">SUM(($G$86:$G$106=F127)*($H$107=1)*$J$86:$J$106)</f>
        <v>0</v>
      </c>
    </row>
    <row r="128" spans="4:11" hidden="1" x14ac:dyDescent="0.3">
      <c r="D128" s="35"/>
      <c r="E128" s="35" t="str">
        <f>IF(COUNTIF(F$108:F128,F128)=1,MAX(E$108:E127)+1,"")</f>
        <v/>
      </c>
      <c r="F128" s="3" t="str">
        <f>IF(H105=1,G105,"")</f>
        <v/>
      </c>
      <c r="G128" s="4"/>
      <c r="H128" s="3">
        <f t="array" ref="H128">SUM(($G$86:$G$106=F128)*($H$107=1)*$I$86:$I$106)</f>
        <v>0</v>
      </c>
      <c r="I128" s="3">
        <f t="array" ref="I128">SUM(($G$86:$G$106=F128)*($H$107=1)*$J$86:$J$106)</f>
        <v>0</v>
      </c>
    </row>
    <row r="129" spans="4:9" hidden="1" x14ac:dyDescent="0.3">
      <c r="D129" s="35"/>
      <c r="E129" s="35" t="str">
        <f>IF(COUNTIF(F$108:F129,F129)=1,MAX(E$108:E128)+1,"")</f>
        <v/>
      </c>
      <c r="F129" s="3" t="str">
        <f>IF(H106=1,G106,"")</f>
        <v/>
      </c>
      <c r="G129" s="4"/>
      <c r="H129" s="3">
        <f t="array" ref="H129">SUM(($G$86:$G$106=F129)*($H$107=1)*$I$86:$I$106)</f>
        <v>0</v>
      </c>
      <c r="I129" s="3">
        <f t="array" ref="I129">SUM(($G$86:$G$106=F129)*($H$107=1)*$J$86:$J$106)</f>
        <v>0</v>
      </c>
    </row>
    <row r="130" spans="4:9" hidden="1" x14ac:dyDescent="0.3">
      <c r="D130" s="35"/>
    </row>
  </sheetData>
  <sheetProtection password="CE28" sheet="1" objects="1" scenarios="1" selectLockedCells="1"/>
  <mergeCells count="90">
    <mergeCell ref="H16:J16"/>
    <mergeCell ref="F17:G17"/>
    <mergeCell ref="H17:J17"/>
    <mergeCell ref="F15:G15"/>
    <mergeCell ref="H15:J15"/>
    <mergeCell ref="B16:E16"/>
    <mergeCell ref="E5:G5"/>
    <mergeCell ref="E9:G9"/>
    <mergeCell ref="E10:G10"/>
    <mergeCell ref="E11:G11"/>
    <mergeCell ref="E12:G12"/>
    <mergeCell ref="B6:C6"/>
    <mergeCell ref="E13:G13"/>
    <mergeCell ref="F16:G16"/>
    <mergeCell ref="H38:J38"/>
    <mergeCell ref="F40:G40"/>
    <mergeCell ref="F41:G41"/>
    <mergeCell ref="F20:G20"/>
    <mergeCell ref="H20:J20"/>
    <mergeCell ref="H22:J22"/>
    <mergeCell ref="F27:G27"/>
    <mergeCell ref="H27:J27"/>
    <mergeCell ref="F28:G28"/>
    <mergeCell ref="H28:J28"/>
    <mergeCell ref="F29:G29"/>
    <mergeCell ref="H29:J29"/>
    <mergeCell ref="F24:G24"/>
    <mergeCell ref="H24:J24"/>
    <mergeCell ref="F25:G25"/>
    <mergeCell ref="H25:J25"/>
    <mergeCell ref="H39:J39"/>
    <mergeCell ref="H46:J46"/>
    <mergeCell ref="H47:J47"/>
    <mergeCell ref="F39:G39"/>
    <mergeCell ref="F46:G46"/>
    <mergeCell ref="F47:G47"/>
    <mergeCell ref="H40:J40"/>
    <mergeCell ref="H41:J41"/>
    <mergeCell ref="H42:J42"/>
    <mergeCell ref="H43:J43"/>
    <mergeCell ref="H49:J49"/>
    <mergeCell ref="F44:G44"/>
    <mergeCell ref="F45:G45"/>
    <mergeCell ref="F49:G49"/>
    <mergeCell ref="H48:J48"/>
    <mergeCell ref="F48:G48"/>
    <mergeCell ref="H44:J44"/>
    <mergeCell ref="H45:J45"/>
    <mergeCell ref="H18:J18"/>
    <mergeCell ref="F19:G19"/>
    <mergeCell ref="H19:J19"/>
    <mergeCell ref="B46:E46"/>
    <mergeCell ref="D20:E20"/>
    <mergeCell ref="D21:E21"/>
    <mergeCell ref="D31:E31"/>
    <mergeCell ref="B25:E25"/>
    <mergeCell ref="B27:E27"/>
    <mergeCell ref="B24:E24"/>
    <mergeCell ref="B34:E34"/>
    <mergeCell ref="F21:G21"/>
    <mergeCell ref="H21:J21"/>
    <mergeCell ref="F22:G22"/>
    <mergeCell ref="B40:E40"/>
    <mergeCell ref="B38:E38"/>
    <mergeCell ref="D49:E49"/>
    <mergeCell ref="B42:E42"/>
    <mergeCell ref="B43:E43"/>
    <mergeCell ref="F38:G38"/>
    <mergeCell ref="F18:G18"/>
    <mergeCell ref="B18:E18"/>
    <mergeCell ref="F26:G26"/>
    <mergeCell ref="F34:G34"/>
    <mergeCell ref="F35:G35"/>
    <mergeCell ref="F36:G36"/>
    <mergeCell ref="F42:G42"/>
    <mergeCell ref="F43:G43"/>
    <mergeCell ref="F23:G23"/>
    <mergeCell ref="F30:G30"/>
    <mergeCell ref="F31:G31"/>
    <mergeCell ref="H23:J23"/>
    <mergeCell ref="D23:E23"/>
    <mergeCell ref="D37:E37"/>
    <mergeCell ref="F37:G37"/>
    <mergeCell ref="H37:J37"/>
    <mergeCell ref="H34:J34"/>
    <mergeCell ref="H35:J35"/>
    <mergeCell ref="H36:J36"/>
    <mergeCell ref="H26:J26"/>
    <mergeCell ref="H30:J30"/>
    <mergeCell ref="H31:J31"/>
  </mergeCells>
  <conditionalFormatting sqref="B44">
    <cfRule type="expression" dxfId="1" priority="3">
      <formula>$B$43="Террасная доска"</formula>
    </cfRule>
  </conditionalFormatting>
  <conditionalFormatting sqref="B26">
    <cfRule type="expression" dxfId="0" priority="1">
      <formula>$B$25="Террасная доска"</formula>
    </cfRule>
  </conditionalFormatting>
  <dataValidations count="5">
    <dataValidation type="list" allowBlank="1" showInputMessage="1" showErrorMessage="1" sqref="B6" xr:uid="{00000000-0002-0000-0000-000000000000}">
      <formula1>"Террасная доска Grand Line 140 мм,Террасная доска Grand Line 140 мм 3D,Террасная доска Grand Line 140 мм Массив,Террасная доска Grand Line 160 мм"</formula1>
    </dataValidation>
    <dataValidation type="list" allowBlank="1" showInputMessage="1" showErrorMessage="1" sqref="B43:E43 B25:E25" xr:uid="{00000000-0002-0000-0000-000001000000}">
      <formula1>"Террасная доска, Торцевая планка,"</formula1>
    </dataValidation>
    <dataValidation type="list" allowBlank="1" showInputMessage="1" showErrorMessage="1" sqref="B44" xr:uid="{00000000-0002-0000-0000-000002000000}">
      <formula1>"Террасная доска Grand Line 140 мм,Террасная доска Grand Line 160 мм"</formula1>
    </dataValidation>
    <dataValidation type="list" allowBlank="1" showInputMessage="1" showErrorMessage="1" sqref="B39" xr:uid="{00000000-0002-0000-0000-000003000000}">
      <formula1>"Торцевая планка Grand Line,Террасная доска Grand Line 140 мм,Террасная доска Grand Line 160 мм,"</formula1>
    </dataValidation>
    <dataValidation type="list" allowBlank="1" showInputMessage="1" showErrorMessage="1" sqref="B26" xr:uid="{00000000-0002-0000-0000-000004000000}">
      <formula1>"Террасная доска Grand Line 140 мм, Террасная доска Grand Line 140 мм 3D, Террасная доска Grand Line 140 мм Массив, Террасная доска Grand Line 160 мм"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mmarshanskiy</dc:creator>
  <cp:lastModifiedBy>Akuznetsov</cp:lastModifiedBy>
  <cp:lastPrinted>2021-10-26T10:22:33Z</cp:lastPrinted>
  <dcterms:created xsi:type="dcterms:W3CDTF">2021-09-30T12:33:17Z</dcterms:created>
  <dcterms:modified xsi:type="dcterms:W3CDTF">2022-09-20T13:39:49Z</dcterms:modified>
</cp:coreProperties>
</file>